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9" sheetId="2" r:id="rId1"/>
  </sheets>
  <definedNames>
    <definedName name="_xlnm._FilterDatabase" localSheetId="0" hidden="1">'2019'!$A$17:$AB$256</definedName>
    <definedName name="_xlnm.Print_Titles" localSheetId="0">'2019'!$16:$17</definedName>
    <definedName name="_xlnm.Print_Area" localSheetId="0">'2019'!$A$1:$Z$256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5" i="2" l="1"/>
  <c r="Y99" i="2" l="1"/>
  <c r="Y30" i="2"/>
  <c r="Y35" i="2"/>
  <c r="Y110" i="2" l="1"/>
  <c r="Y253" i="2" l="1"/>
  <c r="Y237" i="2"/>
  <c r="Y254" i="2" s="1"/>
  <c r="Y236" i="2"/>
  <c r="Y235" i="2"/>
  <c r="Y231" i="2"/>
  <c r="Y226" i="2"/>
  <c r="Y217" i="2"/>
  <c r="Y212" i="2" s="1"/>
  <c r="Y215" i="2"/>
  <c r="Y214" i="2"/>
  <c r="Y209" i="2"/>
  <c r="Y204" i="2"/>
  <c r="Y200" i="2"/>
  <c r="Y256" i="2" s="1"/>
  <c r="Y196" i="2"/>
  <c r="Y187" i="2"/>
  <c r="Y183" i="2"/>
  <c r="Y176" i="2"/>
  <c r="Y172" i="2"/>
  <c r="Y168" i="2"/>
  <c r="Y164" i="2"/>
  <c r="Y151" i="2"/>
  <c r="Y160" i="2"/>
  <c r="Y156" i="2"/>
  <c r="Y152" i="2"/>
  <c r="Y150" i="2"/>
  <c r="Y138" i="2"/>
  <c r="Y130" i="2"/>
  <c r="Y114" i="2"/>
  <c r="Y111" i="2"/>
  <c r="Y105" i="2"/>
  <c r="Y86" i="2"/>
  <c r="Y247" i="2" s="1"/>
  <c r="Y85" i="2"/>
  <c r="Y84" i="2"/>
  <c r="Y83" i="2"/>
  <c r="Y70" i="2"/>
  <c r="Y58" i="2"/>
  <c r="Y54" i="2"/>
  <c r="Y50" i="2"/>
  <c r="Y45" i="2"/>
  <c r="Y39" i="2"/>
  <c r="Y33" i="2"/>
  <c r="Y28" i="2"/>
  <c r="Y250" i="2" s="1"/>
  <c r="Y23" i="2"/>
  <c r="Y22" i="2"/>
  <c r="Y246" i="2" s="1"/>
  <c r="Y21" i="2"/>
  <c r="Y20" i="2"/>
  <c r="Y252" i="2" l="1"/>
  <c r="Y233" i="2"/>
  <c r="Y249" i="2"/>
  <c r="Y245" i="2"/>
  <c r="Y18" i="2"/>
  <c r="Y251" i="2"/>
  <c r="Y81" i="2"/>
  <c r="Y148" i="2"/>
  <c r="Y244" i="2"/>
  <c r="Y129" i="2"/>
  <c r="W151" i="2"/>
  <c r="W244" i="2" s="1"/>
  <c r="W150" i="2"/>
  <c r="W30" i="2"/>
  <c r="Y127" i="2" l="1"/>
  <c r="W131" i="2"/>
  <c r="Y242" i="2" l="1"/>
  <c r="W162" i="2"/>
  <c r="W163" i="2"/>
  <c r="W200" i="2" l="1"/>
  <c r="X200" i="2" s="1"/>
  <c r="Z200" i="2" s="1"/>
  <c r="X202" i="2"/>
  <c r="Z202" i="2" s="1"/>
  <c r="X203" i="2"/>
  <c r="Z203" i="2" s="1"/>
  <c r="W256" i="2" l="1"/>
  <c r="X256" i="2" s="1"/>
  <c r="Z256" i="2" s="1"/>
  <c r="W20" i="2"/>
  <c r="X79" i="2"/>
  <c r="Z79" i="2" s="1"/>
  <c r="X80" i="2"/>
  <c r="Z80" i="2" s="1"/>
  <c r="X78" i="2" l="1"/>
  <c r="Z78" i="2" s="1"/>
  <c r="W255" i="2" l="1"/>
  <c r="W83" i="2" l="1"/>
  <c r="X96" i="2"/>
  <c r="Z96" i="2" s="1"/>
  <c r="X94" i="2"/>
  <c r="Z94" i="2" s="1"/>
  <c r="W253" i="2" l="1"/>
  <c r="W237" i="2"/>
  <c r="W254" i="2" s="1"/>
  <c r="W236" i="2"/>
  <c r="W235" i="2"/>
  <c r="W231" i="2"/>
  <c r="W226" i="2"/>
  <c r="W217" i="2"/>
  <c r="W215" i="2"/>
  <c r="W214" i="2"/>
  <c r="W209" i="2"/>
  <c r="W204" i="2"/>
  <c r="W196" i="2"/>
  <c r="W187" i="2"/>
  <c r="W183" i="2"/>
  <c r="W176" i="2"/>
  <c r="W172" i="2"/>
  <c r="W168" i="2"/>
  <c r="W164" i="2"/>
  <c r="W160" i="2"/>
  <c r="W156" i="2"/>
  <c r="W152" i="2"/>
  <c r="W138" i="2"/>
  <c r="W130" i="2"/>
  <c r="W129" i="2"/>
  <c r="W114" i="2"/>
  <c r="W111" i="2"/>
  <c r="W105" i="2"/>
  <c r="W86" i="2"/>
  <c r="W247" i="2" s="1"/>
  <c r="W85" i="2"/>
  <c r="W84" i="2"/>
  <c r="W70" i="2"/>
  <c r="W58" i="2"/>
  <c r="W54" i="2"/>
  <c r="W50" i="2"/>
  <c r="W45" i="2"/>
  <c r="W39" i="2"/>
  <c r="W33" i="2"/>
  <c r="W28" i="2"/>
  <c r="W23" i="2"/>
  <c r="W22" i="2"/>
  <c r="W21" i="2"/>
  <c r="W252" i="2" l="1"/>
  <c r="W245" i="2"/>
  <c r="W233" i="2"/>
  <c r="W212" i="2"/>
  <c r="W250" i="2"/>
  <c r="W148" i="2"/>
  <c r="W251" i="2"/>
  <c r="W18" i="2"/>
  <c r="W81" i="2"/>
  <c r="W127" i="2"/>
  <c r="W246" i="2"/>
  <c r="W249" i="2"/>
  <c r="U255" i="2"/>
  <c r="U253" i="2"/>
  <c r="U237" i="2"/>
  <c r="U254" i="2" s="1"/>
  <c r="U236" i="2"/>
  <c r="U235" i="2"/>
  <c r="U231" i="2"/>
  <c r="U226" i="2"/>
  <c r="U217" i="2"/>
  <c r="U212" i="2" s="1"/>
  <c r="U215" i="2"/>
  <c r="U214" i="2"/>
  <c r="U209" i="2"/>
  <c r="U204" i="2"/>
  <c r="U196" i="2"/>
  <c r="U187" i="2"/>
  <c r="U183" i="2"/>
  <c r="U176" i="2"/>
  <c r="U172" i="2"/>
  <c r="U168" i="2"/>
  <c r="U164" i="2"/>
  <c r="U160" i="2"/>
  <c r="U156" i="2"/>
  <c r="U152" i="2"/>
  <c r="U151" i="2"/>
  <c r="U244" i="2" s="1"/>
  <c r="U138" i="2"/>
  <c r="U130" i="2"/>
  <c r="U129" i="2"/>
  <c r="U114" i="2"/>
  <c r="U111" i="2"/>
  <c r="U105" i="2"/>
  <c r="U86" i="2"/>
  <c r="U247" i="2" s="1"/>
  <c r="U85" i="2"/>
  <c r="U84" i="2"/>
  <c r="U70" i="2"/>
  <c r="U58" i="2"/>
  <c r="U54" i="2"/>
  <c r="U50" i="2"/>
  <c r="U45" i="2"/>
  <c r="U39" i="2"/>
  <c r="U33" i="2"/>
  <c r="U28" i="2"/>
  <c r="U23" i="2"/>
  <c r="U22" i="2"/>
  <c r="U21" i="2"/>
  <c r="U20" i="2"/>
  <c r="U249" i="2" l="1"/>
  <c r="U233" i="2"/>
  <c r="U18" i="2"/>
  <c r="W242" i="2"/>
  <c r="U245" i="2"/>
  <c r="U127" i="2"/>
  <c r="U251" i="2"/>
  <c r="U252" i="2"/>
  <c r="U83" i="2"/>
  <c r="U250" i="2"/>
  <c r="U150" i="2"/>
  <c r="U246" i="2"/>
  <c r="S83" i="2"/>
  <c r="T124" i="2"/>
  <c r="V124" i="2" s="1"/>
  <c r="X124" i="2" s="1"/>
  <c r="Z124" i="2" s="1"/>
  <c r="U148" i="2" l="1"/>
  <c r="U81" i="2"/>
  <c r="S65" i="2"/>
  <c r="U242" i="2" l="1"/>
  <c r="S162" i="2"/>
  <c r="T126" i="2" l="1"/>
  <c r="V126" i="2" s="1"/>
  <c r="X126" i="2" s="1"/>
  <c r="Z126" i="2" s="1"/>
  <c r="S99" i="2"/>
  <c r="S35" i="2" l="1"/>
  <c r="S107" i="2" l="1"/>
  <c r="S20" i="2" l="1"/>
  <c r="T77" i="2" l="1"/>
  <c r="V77" i="2" s="1"/>
  <c r="X77" i="2" s="1"/>
  <c r="Z77" i="2" s="1"/>
  <c r="T76" i="2"/>
  <c r="V76" i="2" s="1"/>
  <c r="X76" i="2" s="1"/>
  <c r="Z76" i="2" s="1"/>
  <c r="S235" i="2" l="1"/>
  <c r="T241" i="2"/>
  <c r="V241" i="2" s="1"/>
  <c r="X241" i="2" s="1"/>
  <c r="Z241" i="2" s="1"/>
  <c r="S70" i="2" l="1"/>
  <c r="S255" i="2" l="1"/>
  <c r="S253" i="2"/>
  <c r="S237" i="2"/>
  <c r="S254" i="2" s="1"/>
  <c r="S236" i="2"/>
  <c r="S231" i="2"/>
  <c r="S226" i="2"/>
  <c r="S217" i="2"/>
  <c r="S215" i="2"/>
  <c r="S214" i="2"/>
  <c r="S209" i="2"/>
  <c r="S204" i="2"/>
  <c r="S196" i="2"/>
  <c r="S187" i="2"/>
  <c r="S183" i="2"/>
  <c r="S176" i="2"/>
  <c r="S172" i="2"/>
  <c r="S168" i="2"/>
  <c r="S164" i="2"/>
  <c r="S160" i="2"/>
  <c r="S156" i="2"/>
  <c r="S152" i="2"/>
  <c r="S151" i="2"/>
  <c r="S150" i="2"/>
  <c r="S138" i="2"/>
  <c r="S130" i="2"/>
  <c r="S129" i="2"/>
  <c r="S114" i="2"/>
  <c r="S111" i="2"/>
  <c r="S105" i="2"/>
  <c r="S86" i="2"/>
  <c r="S85" i="2"/>
  <c r="S84" i="2"/>
  <c r="S58" i="2"/>
  <c r="S54" i="2"/>
  <c r="S50" i="2"/>
  <c r="S45" i="2"/>
  <c r="S39" i="2"/>
  <c r="S33" i="2"/>
  <c r="S28" i="2"/>
  <c r="S23" i="2"/>
  <c r="S22" i="2"/>
  <c r="S21" i="2"/>
  <c r="S250" i="2" l="1"/>
  <c r="S212" i="2"/>
  <c r="S127" i="2"/>
  <c r="S245" i="2"/>
  <c r="S246" i="2"/>
  <c r="S249" i="2"/>
  <c r="S252" i="2"/>
  <c r="S251" i="2"/>
  <c r="S244" i="2"/>
  <c r="S18" i="2"/>
  <c r="S81" i="2"/>
  <c r="S148" i="2"/>
  <c r="S247" i="2"/>
  <c r="S233" i="2"/>
  <c r="S242" i="2" l="1"/>
  <c r="Q255" i="2"/>
  <c r="Q253" i="2"/>
  <c r="Q237" i="2"/>
  <c r="Q236" i="2"/>
  <c r="Q235" i="2"/>
  <c r="Q231" i="2"/>
  <c r="Q226" i="2"/>
  <c r="Q217" i="2"/>
  <c r="Q212" i="2" s="1"/>
  <c r="Q215" i="2"/>
  <c r="Q214" i="2"/>
  <c r="Q209" i="2"/>
  <c r="Q204" i="2"/>
  <c r="Q196" i="2"/>
  <c r="Q187" i="2"/>
  <c r="Q183" i="2"/>
  <c r="Q176" i="2"/>
  <c r="Q172" i="2"/>
  <c r="Q168" i="2"/>
  <c r="Q164" i="2"/>
  <c r="Q160" i="2"/>
  <c r="Q156" i="2"/>
  <c r="Q150" i="2"/>
  <c r="Q129" i="2"/>
  <c r="Q130" i="2"/>
  <c r="Q114" i="2"/>
  <c r="Q111" i="2"/>
  <c r="Q105" i="2"/>
  <c r="Q86" i="2"/>
  <c r="Q85" i="2"/>
  <c r="Q84" i="2"/>
  <c r="Q83" i="2"/>
  <c r="Q70" i="2"/>
  <c r="Q58" i="2"/>
  <c r="Q54" i="2"/>
  <c r="Q50" i="2"/>
  <c r="Q45" i="2"/>
  <c r="Q39" i="2"/>
  <c r="Q33" i="2"/>
  <c r="Q28" i="2"/>
  <c r="Q23" i="2"/>
  <c r="Q22" i="2"/>
  <c r="Q246" i="2" s="1"/>
  <c r="Q21" i="2"/>
  <c r="Q20" i="2"/>
  <c r="Q245" i="2" l="1"/>
  <c r="Q251" i="2"/>
  <c r="Q249" i="2"/>
  <c r="Q233" i="2"/>
  <c r="Q18" i="2"/>
  <c r="Q250" i="2"/>
  <c r="Q247" i="2"/>
  <c r="Q81" i="2"/>
  <c r="Q127" i="2"/>
  <c r="Q254" i="2"/>
  <c r="Q151" i="2"/>
  <c r="Q138" i="2"/>
  <c r="Q152" i="2"/>
  <c r="O189" i="2"/>
  <c r="Q244" i="2" l="1"/>
  <c r="Q148" i="2"/>
  <c r="Q242" i="2" s="1"/>
  <c r="Q252" i="2"/>
  <c r="O237" i="2"/>
  <c r="P237" i="2" s="1"/>
  <c r="R237" i="2" s="1"/>
  <c r="T237" i="2" s="1"/>
  <c r="V237" i="2" s="1"/>
  <c r="X237" i="2" s="1"/>
  <c r="Z237" i="2" s="1"/>
  <c r="O236" i="2"/>
  <c r="P236" i="2" s="1"/>
  <c r="R236" i="2" s="1"/>
  <c r="T236" i="2" s="1"/>
  <c r="V236" i="2" s="1"/>
  <c r="X236" i="2" s="1"/>
  <c r="Z236" i="2" s="1"/>
  <c r="O235" i="2"/>
  <c r="P235" i="2" s="1"/>
  <c r="R235" i="2" s="1"/>
  <c r="T235" i="2" s="1"/>
  <c r="V235" i="2" s="1"/>
  <c r="X235" i="2" s="1"/>
  <c r="Z235" i="2" s="1"/>
  <c r="P239" i="2"/>
  <c r="R239" i="2" s="1"/>
  <c r="T239" i="2" s="1"/>
  <c r="V239" i="2" s="1"/>
  <c r="X239" i="2" s="1"/>
  <c r="Z239" i="2" s="1"/>
  <c r="P240" i="2"/>
  <c r="R240" i="2" s="1"/>
  <c r="T240" i="2" s="1"/>
  <c r="V240" i="2" s="1"/>
  <c r="X240" i="2" s="1"/>
  <c r="Z240" i="2" s="1"/>
  <c r="O254" i="2" l="1"/>
  <c r="O233" i="2"/>
  <c r="P233" i="2" s="1"/>
  <c r="O140" i="2"/>
  <c r="R233" i="2" l="1"/>
  <c r="T233" i="2" s="1"/>
  <c r="V233" i="2" s="1"/>
  <c r="X233" i="2" s="1"/>
  <c r="Z233" i="2" s="1"/>
  <c r="O150" i="2"/>
  <c r="O86" i="2"/>
  <c r="P86" i="2" l="1"/>
  <c r="R86" i="2" s="1"/>
  <c r="T86" i="2" s="1"/>
  <c r="V86" i="2" s="1"/>
  <c r="X86" i="2" s="1"/>
  <c r="Z86" i="2" s="1"/>
  <c r="O247" i="2"/>
  <c r="P247" i="2" s="1"/>
  <c r="R247" i="2" s="1"/>
  <c r="T247" i="2" s="1"/>
  <c r="V247" i="2" s="1"/>
  <c r="X247" i="2" s="1"/>
  <c r="Z247" i="2" s="1"/>
  <c r="O20" i="2"/>
  <c r="P44" i="2"/>
  <c r="R44" i="2" s="1"/>
  <c r="T44" i="2" s="1"/>
  <c r="V44" i="2" s="1"/>
  <c r="X44" i="2" s="1"/>
  <c r="Z44" i="2" s="1"/>
  <c r="O155" i="2" l="1"/>
  <c r="O151" i="2" s="1"/>
  <c r="O107" i="2" l="1"/>
  <c r="O108" i="2"/>
  <c r="O105" i="2" s="1"/>
  <c r="P110" i="2"/>
  <c r="R110" i="2" s="1"/>
  <c r="T110" i="2" s="1"/>
  <c r="V110" i="2" s="1"/>
  <c r="X110" i="2" s="1"/>
  <c r="Z110" i="2" s="1"/>
  <c r="P208" i="2" l="1"/>
  <c r="R208" i="2" s="1"/>
  <c r="T208" i="2" s="1"/>
  <c r="V208" i="2" s="1"/>
  <c r="X208" i="2" s="1"/>
  <c r="Z208" i="2" s="1"/>
  <c r="O83" i="2" l="1"/>
  <c r="P121" i="2"/>
  <c r="R121" i="2" s="1"/>
  <c r="T121" i="2" s="1"/>
  <c r="V121" i="2" s="1"/>
  <c r="X121" i="2" s="1"/>
  <c r="Z121" i="2" s="1"/>
  <c r="O255" i="2" l="1"/>
  <c r="O253" i="2"/>
  <c r="O231" i="2"/>
  <c r="O226" i="2"/>
  <c r="O217" i="2"/>
  <c r="O215" i="2"/>
  <c r="O214" i="2"/>
  <c r="O209" i="2"/>
  <c r="O204" i="2"/>
  <c r="O196" i="2"/>
  <c r="O187" i="2"/>
  <c r="O183" i="2"/>
  <c r="O176" i="2"/>
  <c r="O172" i="2"/>
  <c r="O168" i="2"/>
  <c r="O164" i="2"/>
  <c r="O160" i="2"/>
  <c r="O156" i="2"/>
  <c r="O152" i="2"/>
  <c r="O244" i="2"/>
  <c r="O148" i="2"/>
  <c r="O138" i="2"/>
  <c r="O130" i="2"/>
  <c r="O129" i="2"/>
  <c r="O114" i="2"/>
  <c r="O111" i="2"/>
  <c r="O85" i="2"/>
  <c r="O84" i="2"/>
  <c r="O70" i="2"/>
  <c r="O58" i="2"/>
  <c r="O54" i="2"/>
  <c r="O50" i="2"/>
  <c r="O45" i="2"/>
  <c r="O39" i="2"/>
  <c r="O33" i="2"/>
  <c r="O28" i="2"/>
  <c r="O23" i="2"/>
  <c r="O22" i="2"/>
  <c r="O21" i="2"/>
  <c r="O245" i="2" l="1"/>
  <c r="O81" i="2"/>
  <c r="O249" i="2"/>
  <c r="O252" i="2"/>
  <c r="O18" i="2"/>
  <c r="O250" i="2"/>
  <c r="O246" i="2"/>
  <c r="O251" i="2"/>
  <c r="O127" i="2"/>
  <c r="O212" i="2"/>
  <c r="M255" i="2"/>
  <c r="M254" i="2"/>
  <c r="M253" i="2"/>
  <c r="M231" i="2"/>
  <c r="M226" i="2"/>
  <c r="M217" i="2"/>
  <c r="M212" i="2" s="1"/>
  <c r="M215" i="2"/>
  <c r="M214" i="2"/>
  <c r="M209" i="2"/>
  <c r="M204" i="2"/>
  <c r="M196" i="2"/>
  <c r="M187" i="2"/>
  <c r="M183" i="2"/>
  <c r="M176" i="2"/>
  <c r="M172" i="2"/>
  <c r="M168" i="2"/>
  <c r="M164" i="2"/>
  <c r="M160" i="2"/>
  <c r="M156" i="2"/>
  <c r="M152" i="2"/>
  <c r="M151" i="2"/>
  <c r="M244" i="2" s="1"/>
  <c r="M138" i="2"/>
  <c r="M130" i="2"/>
  <c r="M129" i="2"/>
  <c r="M114" i="2"/>
  <c r="M111" i="2"/>
  <c r="M105" i="2"/>
  <c r="M85" i="2"/>
  <c r="M84" i="2"/>
  <c r="M83" i="2"/>
  <c r="M58" i="2"/>
  <c r="M54" i="2"/>
  <c r="M50" i="2"/>
  <c r="M45" i="2"/>
  <c r="M39" i="2"/>
  <c r="M33" i="2"/>
  <c r="M23" i="2"/>
  <c r="M22" i="2"/>
  <c r="O242" i="2" l="1"/>
  <c r="M246" i="2"/>
  <c r="M127" i="2"/>
  <c r="M81" i="2"/>
  <c r="M251" i="2"/>
  <c r="M249" i="2"/>
  <c r="M20" i="2"/>
  <c r="M28" i="2"/>
  <c r="M70" i="2"/>
  <c r="M252" i="2"/>
  <c r="M21" i="2"/>
  <c r="M150" i="2"/>
  <c r="K253" i="2"/>
  <c r="K214" i="2"/>
  <c r="L225" i="2"/>
  <c r="N225" i="2" s="1"/>
  <c r="P225" i="2" s="1"/>
  <c r="R225" i="2" s="1"/>
  <c r="T225" i="2" s="1"/>
  <c r="V225" i="2" s="1"/>
  <c r="X225" i="2" s="1"/>
  <c r="Z225" i="2" s="1"/>
  <c r="L75" i="2"/>
  <c r="N75" i="2" s="1"/>
  <c r="P75" i="2" s="1"/>
  <c r="R75" i="2" s="1"/>
  <c r="T75" i="2" s="1"/>
  <c r="V75" i="2" s="1"/>
  <c r="X75" i="2" s="1"/>
  <c r="Z75" i="2" s="1"/>
  <c r="K60" i="2"/>
  <c r="K63" i="2"/>
  <c r="K53" i="2"/>
  <c r="K52" i="2"/>
  <c r="K72" i="2"/>
  <c r="L72" i="2" s="1"/>
  <c r="N72" i="2" s="1"/>
  <c r="P72" i="2" s="1"/>
  <c r="R72" i="2" s="1"/>
  <c r="T72" i="2" s="1"/>
  <c r="V72" i="2" s="1"/>
  <c r="X72" i="2" s="1"/>
  <c r="Z72" i="2" s="1"/>
  <c r="L73" i="2"/>
  <c r="N73" i="2" s="1"/>
  <c r="P73" i="2" s="1"/>
  <c r="R73" i="2" s="1"/>
  <c r="T73" i="2" s="1"/>
  <c r="V73" i="2" s="1"/>
  <c r="X73" i="2" s="1"/>
  <c r="Z73" i="2" s="1"/>
  <c r="L74" i="2"/>
  <c r="N74" i="2" s="1"/>
  <c r="P74" i="2" s="1"/>
  <c r="R74" i="2" s="1"/>
  <c r="T74" i="2" s="1"/>
  <c r="V74" i="2" s="1"/>
  <c r="X74" i="2" s="1"/>
  <c r="Z74" i="2" s="1"/>
  <c r="K70" i="2" l="1"/>
  <c r="L70" i="2" s="1"/>
  <c r="N70" i="2" s="1"/>
  <c r="P70" i="2" s="1"/>
  <c r="R70" i="2" s="1"/>
  <c r="T70" i="2" s="1"/>
  <c r="V70" i="2" s="1"/>
  <c r="X70" i="2" s="1"/>
  <c r="Z70" i="2" s="1"/>
  <c r="M245" i="2"/>
  <c r="M18" i="2"/>
  <c r="M148" i="2"/>
  <c r="M250" i="2"/>
  <c r="K58" i="2"/>
  <c r="D58" i="2"/>
  <c r="K37" i="2"/>
  <c r="K22" i="2" s="1"/>
  <c r="K36" i="2"/>
  <c r="K21" i="2" s="1"/>
  <c r="K35" i="2"/>
  <c r="M242" i="2" l="1"/>
  <c r="K33" i="2"/>
  <c r="K30" i="2"/>
  <c r="K20" i="2" s="1"/>
  <c r="L31" i="2"/>
  <c r="N31" i="2" s="1"/>
  <c r="P31" i="2" s="1"/>
  <c r="R31" i="2" s="1"/>
  <c r="T31" i="2" s="1"/>
  <c r="V31" i="2" s="1"/>
  <c r="X31" i="2" s="1"/>
  <c r="Z31" i="2" s="1"/>
  <c r="L32" i="2"/>
  <c r="N32" i="2" s="1"/>
  <c r="P32" i="2" s="1"/>
  <c r="R32" i="2" s="1"/>
  <c r="T32" i="2" s="1"/>
  <c r="V32" i="2" s="1"/>
  <c r="X32" i="2" s="1"/>
  <c r="Z32" i="2" s="1"/>
  <c r="F30" i="2"/>
  <c r="H30" i="2" s="1"/>
  <c r="J30" i="2" s="1"/>
  <c r="K25" i="2"/>
  <c r="L30" i="2" l="1"/>
  <c r="N30" i="2" s="1"/>
  <c r="P30" i="2" s="1"/>
  <c r="R30" i="2" s="1"/>
  <c r="T30" i="2" s="1"/>
  <c r="V30" i="2" s="1"/>
  <c r="X30" i="2" s="1"/>
  <c r="Z30" i="2" s="1"/>
  <c r="K28" i="2"/>
  <c r="F185" i="2"/>
  <c r="H185" i="2" s="1"/>
  <c r="J185" i="2" s="1"/>
  <c r="F41" i="2"/>
  <c r="H41" i="2" s="1"/>
  <c r="J41" i="2" s="1"/>
  <c r="F25" i="2"/>
  <c r="H25" i="2" s="1"/>
  <c r="J25" i="2" s="1"/>
  <c r="L25" i="2" s="1"/>
  <c r="N25" i="2" s="1"/>
  <c r="P25" i="2" s="1"/>
  <c r="R25" i="2" s="1"/>
  <c r="T25" i="2" s="1"/>
  <c r="V25" i="2" s="1"/>
  <c r="X25" i="2" s="1"/>
  <c r="Z25" i="2" s="1"/>
  <c r="D23" i="2"/>
  <c r="L26" i="2"/>
  <c r="N26" i="2" s="1"/>
  <c r="P26" i="2" s="1"/>
  <c r="R26" i="2" s="1"/>
  <c r="T26" i="2" s="1"/>
  <c r="V26" i="2" s="1"/>
  <c r="X26" i="2" s="1"/>
  <c r="Z26" i="2" s="1"/>
  <c r="L27" i="2"/>
  <c r="N27" i="2" s="1"/>
  <c r="P27" i="2" s="1"/>
  <c r="R27" i="2" s="1"/>
  <c r="T27" i="2" s="1"/>
  <c r="V27" i="2" s="1"/>
  <c r="X27" i="2" s="1"/>
  <c r="Z27" i="2" s="1"/>
  <c r="K23" i="2"/>
  <c r="K39" i="2" l="1"/>
  <c r="L43" i="2"/>
  <c r="N43" i="2" s="1"/>
  <c r="P43" i="2" s="1"/>
  <c r="R43" i="2" s="1"/>
  <c r="T43" i="2" s="1"/>
  <c r="V43" i="2" s="1"/>
  <c r="X43" i="2" s="1"/>
  <c r="Z43" i="2" s="1"/>
  <c r="L41" i="2"/>
  <c r="N41" i="2" s="1"/>
  <c r="P41" i="2" s="1"/>
  <c r="R41" i="2" s="1"/>
  <c r="T41" i="2" s="1"/>
  <c r="V41" i="2" s="1"/>
  <c r="X41" i="2" s="1"/>
  <c r="Z41" i="2" s="1"/>
  <c r="L42" i="2"/>
  <c r="N42" i="2" s="1"/>
  <c r="P42" i="2" s="1"/>
  <c r="R42" i="2" s="1"/>
  <c r="T42" i="2" s="1"/>
  <c r="V42" i="2" s="1"/>
  <c r="X42" i="2" s="1"/>
  <c r="Z42" i="2" s="1"/>
  <c r="K154" i="2" l="1"/>
  <c r="K155" i="2"/>
  <c r="K151" i="2" s="1"/>
  <c r="K204" i="2" l="1"/>
  <c r="L204" i="2" s="1"/>
  <c r="N204" i="2" s="1"/>
  <c r="P204" i="2" s="1"/>
  <c r="R204" i="2" s="1"/>
  <c r="T204" i="2" s="1"/>
  <c r="V204" i="2" s="1"/>
  <c r="X204" i="2" s="1"/>
  <c r="Z204" i="2" s="1"/>
  <c r="L206" i="2"/>
  <c r="N206" i="2" s="1"/>
  <c r="P206" i="2" s="1"/>
  <c r="R206" i="2" s="1"/>
  <c r="T206" i="2" s="1"/>
  <c r="V206" i="2" s="1"/>
  <c r="X206" i="2" s="1"/>
  <c r="Z206" i="2" s="1"/>
  <c r="L207" i="2"/>
  <c r="N207" i="2" s="1"/>
  <c r="P207" i="2" s="1"/>
  <c r="R207" i="2" s="1"/>
  <c r="T207" i="2" s="1"/>
  <c r="V207" i="2" s="1"/>
  <c r="X207" i="2" s="1"/>
  <c r="Z207" i="2" s="1"/>
  <c r="K185" i="2"/>
  <c r="K150" i="2" s="1"/>
  <c r="L186" i="2"/>
  <c r="N186" i="2" s="1"/>
  <c r="P186" i="2" s="1"/>
  <c r="R186" i="2" s="1"/>
  <c r="T186" i="2" s="1"/>
  <c r="V186" i="2" s="1"/>
  <c r="X186" i="2" s="1"/>
  <c r="Z186" i="2" s="1"/>
  <c r="K196" i="2"/>
  <c r="L196" i="2" s="1"/>
  <c r="N196" i="2" s="1"/>
  <c r="P196" i="2" s="1"/>
  <c r="R196" i="2" s="1"/>
  <c r="T196" i="2" s="1"/>
  <c r="V196" i="2" s="1"/>
  <c r="X196" i="2" s="1"/>
  <c r="Z196" i="2" s="1"/>
  <c r="L198" i="2"/>
  <c r="N198" i="2" s="1"/>
  <c r="P198" i="2" s="1"/>
  <c r="R198" i="2" s="1"/>
  <c r="T198" i="2" s="1"/>
  <c r="V198" i="2" s="1"/>
  <c r="X198" i="2" s="1"/>
  <c r="Z198" i="2" s="1"/>
  <c r="L199" i="2"/>
  <c r="N199" i="2" s="1"/>
  <c r="P199" i="2" s="1"/>
  <c r="R199" i="2" s="1"/>
  <c r="T199" i="2" s="1"/>
  <c r="V199" i="2" s="1"/>
  <c r="X199" i="2" s="1"/>
  <c r="Z199" i="2" s="1"/>
  <c r="K183" i="2" l="1"/>
  <c r="L185" i="2"/>
  <c r="N185" i="2" s="1"/>
  <c r="P185" i="2" s="1"/>
  <c r="R185" i="2" s="1"/>
  <c r="T185" i="2" s="1"/>
  <c r="V185" i="2" s="1"/>
  <c r="X185" i="2" s="1"/>
  <c r="Z185" i="2" s="1"/>
  <c r="K255" i="2"/>
  <c r="K254" i="2"/>
  <c r="K231" i="2"/>
  <c r="K226" i="2"/>
  <c r="K215" i="2"/>
  <c r="K209" i="2"/>
  <c r="K187" i="2"/>
  <c r="K176" i="2"/>
  <c r="K172" i="2"/>
  <c r="K168" i="2"/>
  <c r="K164" i="2"/>
  <c r="K160" i="2"/>
  <c r="K156" i="2"/>
  <c r="K152" i="2"/>
  <c r="K148" i="2"/>
  <c r="K138" i="2"/>
  <c r="K130" i="2"/>
  <c r="K129" i="2"/>
  <c r="K114" i="2"/>
  <c r="K111" i="2"/>
  <c r="K105" i="2"/>
  <c r="K85" i="2"/>
  <c r="K84" i="2"/>
  <c r="K83" i="2"/>
  <c r="K54" i="2"/>
  <c r="K249" i="2" s="1"/>
  <c r="K50" i="2"/>
  <c r="K45" i="2"/>
  <c r="K127" i="2" l="1"/>
  <c r="K252" i="2"/>
  <c r="K245" i="2"/>
  <c r="K18" i="2"/>
  <c r="K217" i="2"/>
  <c r="K244" i="2"/>
  <c r="K246" i="2"/>
  <c r="K81" i="2"/>
  <c r="K251" i="2"/>
  <c r="I219" i="2"/>
  <c r="I217" i="2" s="1"/>
  <c r="I255" i="2"/>
  <c r="I254" i="2"/>
  <c r="I253" i="2"/>
  <c r="I231" i="2"/>
  <c r="I226" i="2"/>
  <c r="I215" i="2"/>
  <c r="I209" i="2"/>
  <c r="I187" i="2"/>
  <c r="I176" i="2"/>
  <c r="I172" i="2"/>
  <c r="I168" i="2"/>
  <c r="I164" i="2"/>
  <c r="I160" i="2"/>
  <c r="I156" i="2"/>
  <c r="I152" i="2"/>
  <c r="I151" i="2"/>
  <c r="I138" i="2"/>
  <c r="I130" i="2"/>
  <c r="I129" i="2"/>
  <c r="I114" i="2"/>
  <c r="I111" i="2"/>
  <c r="I105" i="2"/>
  <c r="I85" i="2"/>
  <c r="I84" i="2"/>
  <c r="I83" i="2"/>
  <c r="I58" i="2"/>
  <c r="I54" i="2"/>
  <c r="I249" i="2" s="1"/>
  <c r="I50" i="2"/>
  <c r="I45" i="2"/>
  <c r="I22" i="2"/>
  <c r="I20" i="2"/>
  <c r="K250" i="2" l="1"/>
  <c r="K212" i="2"/>
  <c r="K242" i="2" s="1"/>
  <c r="I214" i="2"/>
  <c r="I127" i="2"/>
  <c r="I251" i="2"/>
  <c r="I81" i="2"/>
  <c r="I252" i="2"/>
  <c r="I246" i="2"/>
  <c r="I21" i="2"/>
  <c r="I245" i="2" s="1"/>
  <c r="I244" i="2"/>
  <c r="I33" i="2"/>
  <c r="I212" i="2"/>
  <c r="I150" i="2"/>
  <c r="G147" i="2"/>
  <c r="I148" i="2" l="1"/>
  <c r="I250" i="2"/>
  <c r="I18" i="2"/>
  <c r="I242" i="2" s="1"/>
  <c r="G255" i="2"/>
  <c r="G226" i="2" l="1"/>
  <c r="H230" i="2"/>
  <c r="J230" i="2" s="1"/>
  <c r="L230" i="2" s="1"/>
  <c r="N230" i="2" s="1"/>
  <c r="P230" i="2" s="1"/>
  <c r="R230" i="2" s="1"/>
  <c r="T230" i="2" s="1"/>
  <c r="V230" i="2" s="1"/>
  <c r="X230" i="2" s="1"/>
  <c r="Z230" i="2" s="1"/>
  <c r="G158" i="2" l="1"/>
  <c r="G162" i="2"/>
  <c r="G129" i="2"/>
  <c r="H147" i="2"/>
  <c r="J147" i="2" s="1"/>
  <c r="L147" i="2" s="1"/>
  <c r="N147" i="2" s="1"/>
  <c r="P147" i="2" s="1"/>
  <c r="R147" i="2" s="1"/>
  <c r="T147" i="2" s="1"/>
  <c r="V147" i="2" s="1"/>
  <c r="X147" i="2" s="1"/>
  <c r="Z147" i="2" s="1"/>
  <c r="G83" i="2" l="1"/>
  <c r="G20" i="2"/>
  <c r="G174" i="2"/>
  <c r="G170" i="2"/>
  <c r="G211" i="2"/>
  <c r="H125" i="2"/>
  <c r="J125" i="2" s="1"/>
  <c r="L125" i="2" s="1"/>
  <c r="N125" i="2" s="1"/>
  <c r="P125" i="2" s="1"/>
  <c r="R125" i="2" s="1"/>
  <c r="T125" i="2" s="1"/>
  <c r="V125" i="2" s="1"/>
  <c r="X125" i="2" s="1"/>
  <c r="Z125" i="2" s="1"/>
  <c r="H118" i="2" l="1"/>
  <c r="J118" i="2" s="1"/>
  <c r="L118" i="2" s="1"/>
  <c r="N118" i="2" s="1"/>
  <c r="P118" i="2" s="1"/>
  <c r="R118" i="2" s="1"/>
  <c r="T118" i="2" s="1"/>
  <c r="V118" i="2" s="1"/>
  <c r="X118" i="2" s="1"/>
  <c r="Z118" i="2" s="1"/>
  <c r="H119" i="2"/>
  <c r="J119" i="2" s="1"/>
  <c r="L119" i="2" s="1"/>
  <c r="N119" i="2" s="1"/>
  <c r="P119" i="2" s="1"/>
  <c r="R119" i="2" s="1"/>
  <c r="T119" i="2" s="1"/>
  <c r="V119" i="2" s="1"/>
  <c r="X119" i="2" s="1"/>
  <c r="Z119" i="2" s="1"/>
  <c r="H120" i="2"/>
  <c r="J120" i="2" s="1"/>
  <c r="L120" i="2" s="1"/>
  <c r="N120" i="2" s="1"/>
  <c r="P120" i="2" s="1"/>
  <c r="R120" i="2" s="1"/>
  <c r="T120" i="2" s="1"/>
  <c r="V120" i="2" s="1"/>
  <c r="X120" i="2" s="1"/>
  <c r="Z120" i="2" s="1"/>
  <c r="H122" i="2"/>
  <c r="J122" i="2" s="1"/>
  <c r="L122" i="2" s="1"/>
  <c r="N122" i="2" s="1"/>
  <c r="P122" i="2" s="1"/>
  <c r="R122" i="2" s="1"/>
  <c r="T122" i="2" s="1"/>
  <c r="V122" i="2" s="1"/>
  <c r="X122" i="2" s="1"/>
  <c r="Z122" i="2" s="1"/>
  <c r="H123" i="2"/>
  <c r="J123" i="2" s="1"/>
  <c r="L123" i="2" s="1"/>
  <c r="N123" i="2" s="1"/>
  <c r="P123" i="2" s="1"/>
  <c r="R123" i="2" s="1"/>
  <c r="T123" i="2" s="1"/>
  <c r="V123" i="2" s="1"/>
  <c r="X123" i="2" s="1"/>
  <c r="Z123" i="2" s="1"/>
  <c r="H255" i="2"/>
  <c r="J255" i="2" s="1"/>
  <c r="L255" i="2" s="1"/>
  <c r="N255" i="2" s="1"/>
  <c r="P255" i="2" s="1"/>
  <c r="R255" i="2" s="1"/>
  <c r="T255" i="2" s="1"/>
  <c r="V255" i="2" s="1"/>
  <c r="X255" i="2" s="1"/>
  <c r="Z255" i="2" s="1"/>
  <c r="H102" i="2"/>
  <c r="J102" i="2" s="1"/>
  <c r="L102" i="2" s="1"/>
  <c r="N102" i="2" s="1"/>
  <c r="P102" i="2" s="1"/>
  <c r="R102" i="2" s="1"/>
  <c r="T102" i="2" s="1"/>
  <c r="V102" i="2" s="1"/>
  <c r="X102" i="2" s="1"/>
  <c r="Z102" i="2" s="1"/>
  <c r="H100" i="2"/>
  <c r="J100" i="2" s="1"/>
  <c r="L100" i="2" s="1"/>
  <c r="N100" i="2" s="1"/>
  <c r="P100" i="2" s="1"/>
  <c r="R100" i="2" s="1"/>
  <c r="T100" i="2" s="1"/>
  <c r="V100" i="2" s="1"/>
  <c r="X100" i="2" s="1"/>
  <c r="Z100" i="2" s="1"/>
  <c r="H88" i="2"/>
  <c r="J88" i="2" s="1"/>
  <c r="L88" i="2" s="1"/>
  <c r="N88" i="2" s="1"/>
  <c r="P88" i="2" s="1"/>
  <c r="R88" i="2" s="1"/>
  <c r="T88" i="2" s="1"/>
  <c r="V88" i="2" s="1"/>
  <c r="X88" i="2" s="1"/>
  <c r="Z88" i="2" s="1"/>
  <c r="G154" i="2" l="1"/>
  <c r="G150" i="2" s="1"/>
  <c r="H144" i="2"/>
  <c r="J144" i="2" s="1"/>
  <c r="L144" i="2" s="1"/>
  <c r="N144" i="2" s="1"/>
  <c r="P144" i="2" s="1"/>
  <c r="R144" i="2" s="1"/>
  <c r="T144" i="2" s="1"/>
  <c r="V144" i="2" s="1"/>
  <c r="X144" i="2" s="1"/>
  <c r="Z144" i="2" s="1"/>
  <c r="H145" i="2"/>
  <c r="J145" i="2" s="1"/>
  <c r="L145" i="2" s="1"/>
  <c r="N145" i="2" s="1"/>
  <c r="P145" i="2" s="1"/>
  <c r="R145" i="2" s="1"/>
  <c r="T145" i="2" s="1"/>
  <c r="V145" i="2" s="1"/>
  <c r="X145" i="2" s="1"/>
  <c r="Z145" i="2" s="1"/>
  <c r="H146" i="2"/>
  <c r="J146" i="2" s="1"/>
  <c r="L146" i="2" s="1"/>
  <c r="N146" i="2" s="1"/>
  <c r="P146" i="2" s="1"/>
  <c r="R146" i="2" s="1"/>
  <c r="T146" i="2" s="1"/>
  <c r="V146" i="2" s="1"/>
  <c r="X146" i="2" s="1"/>
  <c r="Z146" i="2" s="1"/>
  <c r="H191" i="2"/>
  <c r="J191" i="2" s="1"/>
  <c r="L191" i="2" s="1"/>
  <c r="N191" i="2" s="1"/>
  <c r="P191" i="2" s="1"/>
  <c r="R191" i="2" s="1"/>
  <c r="T191" i="2" s="1"/>
  <c r="V191" i="2" s="1"/>
  <c r="X191" i="2" s="1"/>
  <c r="Z191" i="2" s="1"/>
  <c r="H192" i="2"/>
  <c r="J192" i="2" s="1"/>
  <c r="L192" i="2" s="1"/>
  <c r="N192" i="2" s="1"/>
  <c r="P192" i="2" s="1"/>
  <c r="R192" i="2" s="1"/>
  <c r="T192" i="2" s="1"/>
  <c r="V192" i="2" s="1"/>
  <c r="X192" i="2" s="1"/>
  <c r="Z192" i="2" s="1"/>
  <c r="H193" i="2"/>
  <c r="J193" i="2" s="1"/>
  <c r="L193" i="2" s="1"/>
  <c r="N193" i="2" s="1"/>
  <c r="P193" i="2" s="1"/>
  <c r="R193" i="2" s="1"/>
  <c r="T193" i="2" s="1"/>
  <c r="V193" i="2" s="1"/>
  <c r="X193" i="2" s="1"/>
  <c r="Z193" i="2" s="1"/>
  <c r="H194" i="2"/>
  <c r="J194" i="2" s="1"/>
  <c r="L194" i="2" s="1"/>
  <c r="N194" i="2" s="1"/>
  <c r="P194" i="2" s="1"/>
  <c r="R194" i="2" s="1"/>
  <c r="T194" i="2" s="1"/>
  <c r="V194" i="2" s="1"/>
  <c r="X194" i="2" s="1"/>
  <c r="Z194" i="2" s="1"/>
  <c r="H195" i="2"/>
  <c r="J195" i="2" s="1"/>
  <c r="L195" i="2" s="1"/>
  <c r="N195" i="2" s="1"/>
  <c r="P195" i="2" s="1"/>
  <c r="R195" i="2" s="1"/>
  <c r="T195" i="2" s="1"/>
  <c r="V195" i="2" s="1"/>
  <c r="X195" i="2" s="1"/>
  <c r="Z195" i="2" s="1"/>
  <c r="G36" i="2" l="1"/>
  <c r="G37" i="2"/>
  <c r="H211" i="2" l="1"/>
  <c r="J211" i="2" s="1"/>
  <c r="L211" i="2" s="1"/>
  <c r="N211" i="2" s="1"/>
  <c r="P211" i="2" s="1"/>
  <c r="R211" i="2" s="1"/>
  <c r="T211" i="2" s="1"/>
  <c r="V211" i="2" s="1"/>
  <c r="X211" i="2" s="1"/>
  <c r="Z211" i="2" s="1"/>
  <c r="G209" i="2"/>
  <c r="G254" i="2" l="1"/>
  <c r="G253" i="2"/>
  <c r="G231" i="2"/>
  <c r="G217" i="2"/>
  <c r="G215" i="2"/>
  <c r="G214" i="2"/>
  <c r="G187" i="2"/>
  <c r="G176" i="2"/>
  <c r="G172" i="2"/>
  <c r="G168" i="2"/>
  <c r="G164" i="2"/>
  <c r="G160" i="2"/>
  <c r="G156" i="2"/>
  <c r="G152" i="2"/>
  <c r="G151" i="2"/>
  <c r="G138" i="2"/>
  <c r="G130" i="2"/>
  <c r="G114" i="2"/>
  <c r="G111" i="2"/>
  <c r="G105" i="2"/>
  <c r="G85" i="2"/>
  <c r="G84" i="2"/>
  <c r="G58" i="2"/>
  <c r="G45" i="2"/>
  <c r="G33" i="2"/>
  <c r="G22" i="2"/>
  <c r="G252" i="2" l="1"/>
  <c r="G127" i="2"/>
  <c r="G212" i="2"/>
  <c r="G244" i="2"/>
  <c r="G50" i="2"/>
  <c r="G250" i="2" s="1"/>
  <c r="G81" i="2"/>
  <c r="G148" i="2"/>
  <c r="G251" i="2"/>
  <c r="G21" i="2"/>
  <c r="G54" i="2"/>
  <c r="G246" i="2"/>
  <c r="E85" i="2"/>
  <c r="F117" i="2"/>
  <c r="H117" i="2" s="1"/>
  <c r="J117" i="2" s="1"/>
  <c r="L117" i="2" s="1"/>
  <c r="N117" i="2" s="1"/>
  <c r="P117" i="2" s="1"/>
  <c r="R117" i="2" s="1"/>
  <c r="T117" i="2" s="1"/>
  <c r="V117" i="2" s="1"/>
  <c r="X117" i="2" s="1"/>
  <c r="Z117" i="2" s="1"/>
  <c r="G18" i="2" l="1"/>
  <c r="G242" i="2" s="1"/>
  <c r="G245" i="2"/>
  <c r="G249" i="2"/>
  <c r="D21" i="2"/>
  <c r="E57" i="2" l="1"/>
  <c r="E53" i="2"/>
  <c r="E52" i="2"/>
  <c r="E60" i="2"/>
  <c r="E151" i="2"/>
  <c r="E150" i="2"/>
  <c r="E187" i="2"/>
  <c r="F189" i="2"/>
  <c r="H189" i="2" s="1"/>
  <c r="J189" i="2" s="1"/>
  <c r="L189" i="2" s="1"/>
  <c r="N189" i="2" s="1"/>
  <c r="P189" i="2" s="1"/>
  <c r="R189" i="2" s="1"/>
  <c r="T189" i="2" s="1"/>
  <c r="V189" i="2" s="1"/>
  <c r="X189" i="2" s="1"/>
  <c r="Z189" i="2" s="1"/>
  <c r="F190" i="2"/>
  <c r="H190" i="2" s="1"/>
  <c r="J190" i="2" s="1"/>
  <c r="L190" i="2" s="1"/>
  <c r="N190" i="2" s="1"/>
  <c r="P190" i="2" s="1"/>
  <c r="R190" i="2" s="1"/>
  <c r="T190" i="2" s="1"/>
  <c r="V190" i="2" s="1"/>
  <c r="X190" i="2" s="1"/>
  <c r="Z190" i="2" s="1"/>
  <c r="D187" i="2"/>
  <c r="F107" i="2" l="1"/>
  <c r="H107" i="2" s="1"/>
  <c r="J107" i="2" s="1"/>
  <c r="L107" i="2" s="1"/>
  <c r="N107" i="2" s="1"/>
  <c r="P107" i="2" s="1"/>
  <c r="R107" i="2" s="1"/>
  <c r="T107" i="2" s="1"/>
  <c r="V107" i="2" s="1"/>
  <c r="X107" i="2" s="1"/>
  <c r="Z107" i="2" s="1"/>
  <c r="F85" i="2"/>
  <c r="H85" i="2" s="1"/>
  <c r="J85" i="2" s="1"/>
  <c r="L85" i="2" s="1"/>
  <c r="N85" i="2" s="1"/>
  <c r="P85" i="2" s="1"/>
  <c r="R85" i="2" s="1"/>
  <c r="T85" i="2" s="1"/>
  <c r="V85" i="2" s="1"/>
  <c r="X85" i="2" s="1"/>
  <c r="Z85" i="2" s="1"/>
  <c r="E105" i="2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Z109" i="2" s="1"/>
  <c r="E63" i="2" l="1"/>
  <c r="E254" i="2"/>
  <c r="E253" i="2"/>
  <c r="E231" i="2"/>
  <c r="E226" i="2"/>
  <c r="E217" i="2"/>
  <c r="E212" i="2" s="1"/>
  <c r="E215" i="2"/>
  <c r="E214" i="2"/>
  <c r="E209" i="2"/>
  <c r="E176" i="2"/>
  <c r="E172" i="2"/>
  <c r="E168" i="2"/>
  <c r="E164" i="2"/>
  <c r="E160" i="2"/>
  <c r="E156" i="2"/>
  <c r="E152" i="2"/>
  <c r="E244" i="2"/>
  <c r="E138" i="2"/>
  <c r="E130" i="2"/>
  <c r="E129" i="2"/>
  <c r="E111" i="2"/>
  <c r="E83" i="2"/>
  <c r="E58" i="2"/>
  <c r="E54" i="2"/>
  <c r="E249" i="2" s="1"/>
  <c r="E50" i="2"/>
  <c r="E45" i="2"/>
  <c r="E33" i="2"/>
  <c r="E22" i="2"/>
  <c r="E246" i="2" s="1"/>
  <c r="E21" i="2"/>
  <c r="E20" i="2"/>
  <c r="F23" i="2"/>
  <c r="H23" i="2" s="1"/>
  <c r="J23" i="2" s="1"/>
  <c r="L23" i="2" s="1"/>
  <c r="N23" i="2" s="1"/>
  <c r="P23" i="2" s="1"/>
  <c r="R23" i="2" s="1"/>
  <c r="T23" i="2" s="1"/>
  <c r="V23" i="2" s="1"/>
  <c r="X23" i="2" s="1"/>
  <c r="Z23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Z28" i="2" s="1"/>
  <c r="F35" i="2"/>
  <c r="H35" i="2" s="1"/>
  <c r="J35" i="2" s="1"/>
  <c r="L35" i="2" s="1"/>
  <c r="N35" i="2" s="1"/>
  <c r="P35" i="2" s="1"/>
  <c r="R35" i="2" s="1"/>
  <c r="T35" i="2" s="1"/>
  <c r="V35" i="2" s="1"/>
  <c r="X35" i="2" s="1"/>
  <c r="Z35" i="2" s="1"/>
  <c r="F36" i="2"/>
  <c r="H36" i="2" s="1"/>
  <c r="J36" i="2" s="1"/>
  <c r="L36" i="2" s="1"/>
  <c r="N36" i="2" s="1"/>
  <c r="P36" i="2" s="1"/>
  <c r="R36" i="2" s="1"/>
  <c r="T36" i="2" s="1"/>
  <c r="V36" i="2" s="1"/>
  <c r="X36" i="2" s="1"/>
  <c r="Z36" i="2" s="1"/>
  <c r="F37" i="2"/>
  <c r="H37" i="2" s="1"/>
  <c r="J37" i="2" s="1"/>
  <c r="L37" i="2" s="1"/>
  <c r="N37" i="2" s="1"/>
  <c r="P37" i="2" s="1"/>
  <c r="R37" i="2" s="1"/>
  <c r="T37" i="2" s="1"/>
  <c r="V37" i="2" s="1"/>
  <c r="X37" i="2" s="1"/>
  <c r="Z37" i="2" s="1"/>
  <c r="F38" i="2"/>
  <c r="H38" i="2" s="1"/>
  <c r="J38" i="2" s="1"/>
  <c r="L38" i="2" s="1"/>
  <c r="N38" i="2" s="1"/>
  <c r="P38" i="2" s="1"/>
  <c r="R38" i="2" s="1"/>
  <c r="T38" i="2" s="1"/>
  <c r="V38" i="2" s="1"/>
  <c r="X38" i="2" s="1"/>
  <c r="Z38" i="2" s="1"/>
  <c r="F39" i="2"/>
  <c r="H39" i="2" s="1"/>
  <c r="J39" i="2" s="1"/>
  <c r="L39" i="2" s="1"/>
  <c r="N39" i="2" s="1"/>
  <c r="P39" i="2" s="1"/>
  <c r="R39" i="2" s="1"/>
  <c r="T39" i="2" s="1"/>
  <c r="V39" i="2" s="1"/>
  <c r="X39" i="2" s="1"/>
  <c r="Z39" i="2" s="1"/>
  <c r="F47" i="2"/>
  <c r="H47" i="2" s="1"/>
  <c r="J47" i="2" s="1"/>
  <c r="L47" i="2" s="1"/>
  <c r="N47" i="2" s="1"/>
  <c r="P47" i="2" s="1"/>
  <c r="R47" i="2" s="1"/>
  <c r="T47" i="2" s="1"/>
  <c r="V47" i="2" s="1"/>
  <c r="X47" i="2" s="1"/>
  <c r="Z47" i="2" s="1"/>
  <c r="F48" i="2"/>
  <c r="H48" i="2" s="1"/>
  <c r="J48" i="2" s="1"/>
  <c r="L48" i="2" s="1"/>
  <c r="N48" i="2" s="1"/>
  <c r="P48" i="2" s="1"/>
  <c r="R48" i="2" s="1"/>
  <c r="T48" i="2" s="1"/>
  <c r="V48" i="2" s="1"/>
  <c r="X48" i="2" s="1"/>
  <c r="Z48" i="2" s="1"/>
  <c r="F49" i="2"/>
  <c r="H49" i="2" s="1"/>
  <c r="J49" i="2" s="1"/>
  <c r="L49" i="2" s="1"/>
  <c r="N49" i="2" s="1"/>
  <c r="P49" i="2" s="1"/>
  <c r="R49" i="2" s="1"/>
  <c r="T49" i="2" s="1"/>
  <c r="V49" i="2" s="1"/>
  <c r="X49" i="2" s="1"/>
  <c r="Z49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Z52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Z53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Z56" i="2" s="1"/>
  <c r="F57" i="2"/>
  <c r="H57" i="2" s="1"/>
  <c r="J57" i="2" s="1"/>
  <c r="L57" i="2" s="1"/>
  <c r="N57" i="2" s="1"/>
  <c r="P57" i="2" s="1"/>
  <c r="R57" i="2" s="1"/>
  <c r="T57" i="2" s="1"/>
  <c r="V57" i="2" s="1"/>
  <c r="X57" i="2" s="1"/>
  <c r="Z57" i="2" s="1"/>
  <c r="F60" i="2"/>
  <c r="H60" i="2" s="1"/>
  <c r="J60" i="2" s="1"/>
  <c r="L60" i="2" s="1"/>
  <c r="N60" i="2" s="1"/>
  <c r="P60" i="2" s="1"/>
  <c r="R60" i="2" s="1"/>
  <c r="T60" i="2" s="1"/>
  <c r="V60" i="2" s="1"/>
  <c r="X60" i="2" s="1"/>
  <c r="Z60" i="2" s="1"/>
  <c r="F61" i="2"/>
  <c r="H61" i="2" s="1"/>
  <c r="J61" i="2" s="1"/>
  <c r="L61" i="2" s="1"/>
  <c r="N61" i="2" s="1"/>
  <c r="P61" i="2" s="1"/>
  <c r="R61" i="2" s="1"/>
  <c r="T61" i="2" s="1"/>
  <c r="V61" i="2" s="1"/>
  <c r="X61" i="2" s="1"/>
  <c r="Z61" i="2" s="1"/>
  <c r="F63" i="2"/>
  <c r="H63" i="2" s="1"/>
  <c r="J63" i="2" s="1"/>
  <c r="L63" i="2" s="1"/>
  <c r="N63" i="2" s="1"/>
  <c r="P63" i="2" s="1"/>
  <c r="R63" i="2" s="1"/>
  <c r="T63" i="2" s="1"/>
  <c r="V63" i="2" s="1"/>
  <c r="X63" i="2" s="1"/>
  <c r="Z63" i="2" s="1"/>
  <c r="F64" i="2"/>
  <c r="H64" i="2" s="1"/>
  <c r="J64" i="2" s="1"/>
  <c r="L64" i="2" s="1"/>
  <c r="N64" i="2" s="1"/>
  <c r="P64" i="2" s="1"/>
  <c r="R64" i="2" s="1"/>
  <c r="T64" i="2" s="1"/>
  <c r="V64" i="2" s="1"/>
  <c r="X64" i="2" s="1"/>
  <c r="Z64" i="2" s="1"/>
  <c r="F65" i="2"/>
  <c r="H65" i="2" s="1"/>
  <c r="J65" i="2" s="1"/>
  <c r="L65" i="2" s="1"/>
  <c r="N65" i="2" s="1"/>
  <c r="P65" i="2" s="1"/>
  <c r="R65" i="2" s="1"/>
  <c r="T65" i="2" s="1"/>
  <c r="V65" i="2" s="1"/>
  <c r="X65" i="2" s="1"/>
  <c r="Z65" i="2" s="1"/>
  <c r="F66" i="2"/>
  <c r="H66" i="2" s="1"/>
  <c r="J66" i="2" s="1"/>
  <c r="L66" i="2" s="1"/>
  <c r="N66" i="2" s="1"/>
  <c r="P66" i="2" s="1"/>
  <c r="R66" i="2" s="1"/>
  <c r="T66" i="2" s="1"/>
  <c r="V66" i="2" s="1"/>
  <c r="X66" i="2" s="1"/>
  <c r="Z66" i="2" s="1"/>
  <c r="F67" i="2"/>
  <c r="H67" i="2" s="1"/>
  <c r="J67" i="2" s="1"/>
  <c r="L67" i="2" s="1"/>
  <c r="N67" i="2" s="1"/>
  <c r="P67" i="2" s="1"/>
  <c r="R67" i="2" s="1"/>
  <c r="T67" i="2" s="1"/>
  <c r="V67" i="2" s="1"/>
  <c r="X67" i="2" s="1"/>
  <c r="Z67" i="2" s="1"/>
  <c r="F68" i="2"/>
  <c r="H68" i="2" s="1"/>
  <c r="J68" i="2" s="1"/>
  <c r="L68" i="2" s="1"/>
  <c r="N68" i="2" s="1"/>
  <c r="P68" i="2" s="1"/>
  <c r="R68" i="2" s="1"/>
  <c r="T68" i="2" s="1"/>
  <c r="V68" i="2" s="1"/>
  <c r="X68" i="2" s="1"/>
  <c r="Z68" i="2" s="1"/>
  <c r="F69" i="2"/>
  <c r="H69" i="2" s="1"/>
  <c r="J69" i="2" s="1"/>
  <c r="L69" i="2" s="1"/>
  <c r="N69" i="2" s="1"/>
  <c r="P69" i="2" s="1"/>
  <c r="R69" i="2" s="1"/>
  <c r="T69" i="2" s="1"/>
  <c r="V69" i="2" s="1"/>
  <c r="X69" i="2" s="1"/>
  <c r="Z69" i="2" s="1"/>
  <c r="F87" i="2"/>
  <c r="H87" i="2" s="1"/>
  <c r="J87" i="2" s="1"/>
  <c r="L87" i="2" s="1"/>
  <c r="N87" i="2" s="1"/>
  <c r="P87" i="2" s="1"/>
  <c r="R87" i="2" s="1"/>
  <c r="T87" i="2" s="1"/>
  <c r="V87" i="2" s="1"/>
  <c r="X87" i="2" s="1"/>
  <c r="Z87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Z89" i="2" s="1"/>
  <c r="F90" i="2"/>
  <c r="H90" i="2" s="1"/>
  <c r="J90" i="2" s="1"/>
  <c r="L90" i="2" s="1"/>
  <c r="N90" i="2" s="1"/>
  <c r="P90" i="2" s="1"/>
  <c r="R90" i="2" s="1"/>
  <c r="T90" i="2" s="1"/>
  <c r="V90" i="2" s="1"/>
  <c r="X90" i="2" s="1"/>
  <c r="Z90" i="2" s="1"/>
  <c r="F91" i="2"/>
  <c r="H91" i="2" s="1"/>
  <c r="J91" i="2" s="1"/>
  <c r="L91" i="2" s="1"/>
  <c r="N91" i="2" s="1"/>
  <c r="P91" i="2" s="1"/>
  <c r="R91" i="2" s="1"/>
  <c r="T91" i="2" s="1"/>
  <c r="V91" i="2" s="1"/>
  <c r="X91" i="2" s="1"/>
  <c r="Z91" i="2" s="1"/>
  <c r="F92" i="2"/>
  <c r="H92" i="2" s="1"/>
  <c r="J92" i="2" s="1"/>
  <c r="L92" i="2" s="1"/>
  <c r="N92" i="2" s="1"/>
  <c r="P92" i="2" s="1"/>
  <c r="R92" i="2" s="1"/>
  <c r="T92" i="2" s="1"/>
  <c r="V92" i="2" s="1"/>
  <c r="X92" i="2" s="1"/>
  <c r="Z92" i="2" s="1"/>
  <c r="F93" i="2"/>
  <c r="H93" i="2" s="1"/>
  <c r="J93" i="2" s="1"/>
  <c r="L93" i="2" s="1"/>
  <c r="N93" i="2" s="1"/>
  <c r="P93" i="2" s="1"/>
  <c r="R93" i="2" s="1"/>
  <c r="T93" i="2" s="1"/>
  <c r="V93" i="2" s="1"/>
  <c r="X93" i="2" s="1"/>
  <c r="Z93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Z95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Z97" i="2" s="1"/>
  <c r="F98" i="2"/>
  <c r="H98" i="2" s="1"/>
  <c r="J98" i="2" s="1"/>
  <c r="L98" i="2" s="1"/>
  <c r="N98" i="2" s="1"/>
  <c r="P98" i="2" s="1"/>
  <c r="R98" i="2" s="1"/>
  <c r="T98" i="2" s="1"/>
  <c r="V98" i="2" s="1"/>
  <c r="X98" i="2" s="1"/>
  <c r="Z98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Z99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Z101" i="2" s="1"/>
  <c r="F103" i="2"/>
  <c r="H103" i="2" s="1"/>
  <c r="J103" i="2" s="1"/>
  <c r="L103" i="2" s="1"/>
  <c r="N103" i="2" s="1"/>
  <c r="P103" i="2" s="1"/>
  <c r="R103" i="2" s="1"/>
  <c r="T103" i="2" s="1"/>
  <c r="V103" i="2" s="1"/>
  <c r="X103" i="2" s="1"/>
  <c r="Z103" i="2" s="1"/>
  <c r="F104" i="2"/>
  <c r="H104" i="2" s="1"/>
  <c r="J104" i="2" s="1"/>
  <c r="L104" i="2" s="1"/>
  <c r="N104" i="2" s="1"/>
  <c r="P104" i="2" s="1"/>
  <c r="R104" i="2" s="1"/>
  <c r="T104" i="2" s="1"/>
  <c r="V104" i="2" s="1"/>
  <c r="X104" i="2" s="1"/>
  <c r="Z104" i="2" s="1"/>
  <c r="F108" i="2"/>
  <c r="H108" i="2" s="1"/>
  <c r="J108" i="2" s="1"/>
  <c r="L108" i="2" s="1"/>
  <c r="N108" i="2" s="1"/>
  <c r="P108" i="2" s="1"/>
  <c r="R108" i="2" s="1"/>
  <c r="T108" i="2" s="1"/>
  <c r="V108" i="2" s="1"/>
  <c r="X108" i="2" s="1"/>
  <c r="Z108" i="2" s="1"/>
  <c r="F113" i="2"/>
  <c r="H113" i="2" s="1"/>
  <c r="J113" i="2" s="1"/>
  <c r="L113" i="2" s="1"/>
  <c r="N113" i="2" s="1"/>
  <c r="P113" i="2" s="1"/>
  <c r="R113" i="2" s="1"/>
  <c r="T113" i="2" s="1"/>
  <c r="V113" i="2" s="1"/>
  <c r="X113" i="2" s="1"/>
  <c r="Z113" i="2" s="1"/>
  <c r="F131" i="2"/>
  <c r="H131" i="2" s="1"/>
  <c r="J131" i="2" s="1"/>
  <c r="L131" i="2" s="1"/>
  <c r="N131" i="2" s="1"/>
  <c r="P131" i="2" s="1"/>
  <c r="R131" i="2" s="1"/>
  <c r="T131" i="2" s="1"/>
  <c r="V131" i="2" s="1"/>
  <c r="X131" i="2" s="1"/>
  <c r="Z131" i="2" s="1"/>
  <c r="F132" i="2"/>
  <c r="H132" i="2" s="1"/>
  <c r="J132" i="2" s="1"/>
  <c r="L132" i="2" s="1"/>
  <c r="N132" i="2" s="1"/>
  <c r="P132" i="2" s="1"/>
  <c r="R132" i="2" s="1"/>
  <c r="T132" i="2" s="1"/>
  <c r="V132" i="2" s="1"/>
  <c r="X132" i="2" s="1"/>
  <c r="Z132" i="2" s="1"/>
  <c r="F133" i="2"/>
  <c r="H133" i="2" s="1"/>
  <c r="J133" i="2" s="1"/>
  <c r="L133" i="2" s="1"/>
  <c r="N133" i="2" s="1"/>
  <c r="P133" i="2" s="1"/>
  <c r="R133" i="2" s="1"/>
  <c r="T133" i="2" s="1"/>
  <c r="V133" i="2" s="1"/>
  <c r="X133" i="2" s="1"/>
  <c r="Z133" i="2" s="1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Z134" i="2" s="1"/>
  <c r="F135" i="2"/>
  <c r="H135" i="2" s="1"/>
  <c r="J135" i="2" s="1"/>
  <c r="L135" i="2" s="1"/>
  <c r="N135" i="2" s="1"/>
  <c r="P135" i="2" s="1"/>
  <c r="R135" i="2" s="1"/>
  <c r="T135" i="2" s="1"/>
  <c r="V135" i="2" s="1"/>
  <c r="X135" i="2" s="1"/>
  <c r="Z135" i="2" s="1"/>
  <c r="F136" i="2"/>
  <c r="H136" i="2" s="1"/>
  <c r="J136" i="2" s="1"/>
  <c r="L136" i="2" s="1"/>
  <c r="N136" i="2" s="1"/>
  <c r="P136" i="2" s="1"/>
  <c r="R136" i="2" s="1"/>
  <c r="T136" i="2" s="1"/>
  <c r="V136" i="2" s="1"/>
  <c r="X136" i="2" s="1"/>
  <c r="Z136" i="2" s="1"/>
  <c r="F137" i="2"/>
  <c r="H137" i="2" s="1"/>
  <c r="J137" i="2" s="1"/>
  <c r="L137" i="2" s="1"/>
  <c r="N137" i="2" s="1"/>
  <c r="P137" i="2" s="1"/>
  <c r="R137" i="2" s="1"/>
  <c r="T137" i="2" s="1"/>
  <c r="V137" i="2" s="1"/>
  <c r="X137" i="2" s="1"/>
  <c r="Z137" i="2" s="1"/>
  <c r="F140" i="2"/>
  <c r="H140" i="2" s="1"/>
  <c r="J140" i="2" s="1"/>
  <c r="L140" i="2" s="1"/>
  <c r="N140" i="2" s="1"/>
  <c r="P140" i="2" s="1"/>
  <c r="R140" i="2" s="1"/>
  <c r="T140" i="2" s="1"/>
  <c r="V140" i="2" s="1"/>
  <c r="X140" i="2" s="1"/>
  <c r="Z140" i="2" s="1"/>
  <c r="F141" i="2"/>
  <c r="H141" i="2" s="1"/>
  <c r="J141" i="2" s="1"/>
  <c r="L141" i="2" s="1"/>
  <c r="N141" i="2" s="1"/>
  <c r="P141" i="2" s="1"/>
  <c r="R141" i="2" s="1"/>
  <c r="T141" i="2" s="1"/>
  <c r="V141" i="2" s="1"/>
  <c r="X141" i="2" s="1"/>
  <c r="Z141" i="2" s="1"/>
  <c r="F142" i="2"/>
  <c r="H142" i="2" s="1"/>
  <c r="J142" i="2" s="1"/>
  <c r="L142" i="2" s="1"/>
  <c r="N142" i="2" s="1"/>
  <c r="P142" i="2" s="1"/>
  <c r="R142" i="2" s="1"/>
  <c r="T142" i="2" s="1"/>
  <c r="V142" i="2" s="1"/>
  <c r="X142" i="2" s="1"/>
  <c r="Z142" i="2" s="1"/>
  <c r="F143" i="2"/>
  <c r="H143" i="2" s="1"/>
  <c r="J143" i="2" s="1"/>
  <c r="L143" i="2" s="1"/>
  <c r="N143" i="2" s="1"/>
  <c r="P143" i="2" s="1"/>
  <c r="R143" i="2" s="1"/>
  <c r="T143" i="2" s="1"/>
  <c r="V143" i="2" s="1"/>
  <c r="X143" i="2" s="1"/>
  <c r="Z143" i="2" s="1"/>
  <c r="F154" i="2"/>
  <c r="H154" i="2" s="1"/>
  <c r="J154" i="2" s="1"/>
  <c r="L154" i="2" s="1"/>
  <c r="N154" i="2" s="1"/>
  <c r="P154" i="2" s="1"/>
  <c r="R154" i="2" s="1"/>
  <c r="T154" i="2" s="1"/>
  <c r="V154" i="2" s="1"/>
  <c r="X154" i="2" s="1"/>
  <c r="Z154" i="2" s="1"/>
  <c r="F155" i="2"/>
  <c r="H155" i="2" s="1"/>
  <c r="J155" i="2" s="1"/>
  <c r="L155" i="2" s="1"/>
  <c r="N155" i="2" s="1"/>
  <c r="P155" i="2" s="1"/>
  <c r="R155" i="2" s="1"/>
  <c r="T155" i="2" s="1"/>
  <c r="V155" i="2" s="1"/>
  <c r="X155" i="2" s="1"/>
  <c r="Z155" i="2" s="1"/>
  <c r="F158" i="2"/>
  <c r="H158" i="2" s="1"/>
  <c r="J158" i="2" s="1"/>
  <c r="L158" i="2" s="1"/>
  <c r="N158" i="2" s="1"/>
  <c r="P158" i="2" s="1"/>
  <c r="R158" i="2" s="1"/>
  <c r="T158" i="2" s="1"/>
  <c r="V158" i="2" s="1"/>
  <c r="X158" i="2" s="1"/>
  <c r="Z158" i="2" s="1"/>
  <c r="F159" i="2"/>
  <c r="H159" i="2" s="1"/>
  <c r="J159" i="2" s="1"/>
  <c r="L159" i="2" s="1"/>
  <c r="N159" i="2" s="1"/>
  <c r="P159" i="2" s="1"/>
  <c r="R159" i="2" s="1"/>
  <c r="T159" i="2" s="1"/>
  <c r="V159" i="2" s="1"/>
  <c r="X159" i="2" s="1"/>
  <c r="Z159" i="2" s="1"/>
  <c r="F162" i="2"/>
  <c r="H162" i="2" s="1"/>
  <c r="J162" i="2" s="1"/>
  <c r="L162" i="2" s="1"/>
  <c r="N162" i="2" s="1"/>
  <c r="P162" i="2" s="1"/>
  <c r="R162" i="2" s="1"/>
  <c r="T162" i="2" s="1"/>
  <c r="V162" i="2" s="1"/>
  <c r="X162" i="2" s="1"/>
  <c r="Z162" i="2" s="1"/>
  <c r="F163" i="2"/>
  <c r="H163" i="2" s="1"/>
  <c r="J163" i="2" s="1"/>
  <c r="L163" i="2" s="1"/>
  <c r="N163" i="2" s="1"/>
  <c r="P163" i="2" s="1"/>
  <c r="R163" i="2" s="1"/>
  <c r="T163" i="2" s="1"/>
  <c r="V163" i="2" s="1"/>
  <c r="X163" i="2" s="1"/>
  <c r="Z163" i="2" s="1"/>
  <c r="F166" i="2"/>
  <c r="H166" i="2" s="1"/>
  <c r="J166" i="2" s="1"/>
  <c r="L166" i="2" s="1"/>
  <c r="N166" i="2" s="1"/>
  <c r="P166" i="2" s="1"/>
  <c r="R166" i="2" s="1"/>
  <c r="T166" i="2" s="1"/>
  <c r="V166" i="2" s="1"/>
  <c r="X166" i="2" s="1"/>
  <c r="Z166" i="2" s="1"/>
  <c r="F167" i="2"/>
  <c r="H167" i="2" s="1"/>
  <c r="J167" i="2" s="1"/>
  <c r="L167" i="2" s="1"/>
  <c r="N167" i="2" s="1"/>
  <c r="P167" i="2" s="1"/>
  <c r="R167" i="2" s="1"/>
  <c r="T167" i="2" s="1"/>
  <c r="V167" i="2" s="1"/>
  <c r="X167" i="2" s="1"/>
  <c r="Z167" i="2" s="1"/>
  <c r="F170" i="2"/>
  <c r="H170" i="2" s="1"/>
  <c r="J170" i="2" s="1"/>
  <c r="L170" i="2" s="1"/>
  <c r="N170" i="2" s="1"/>
  <c r="P170" i="2" s="1"/>
  <c r="R170" i="2" s="1"/>
  <c r="T170" i="2" s="1"/>
  <c r="V170" i="2" s="1"/>
  <c r="X170" i="2" s="1"/>
  <c r="Z170" i="2" s="1"/>
  <c r="F171" i="2"/>
  <c r="H171" i="2" s="1"/>
  <c r="J171" i="2" s="1"/>
  <c r="L171" i="2" s="1"/>
  <c r="N171" i="2" s="1"/>
  <c r="P171" i="2" s="1"/>
  <c r="R171" i="2" s="1"/>
  <c r="T171" i="2" s="1"/>
  <c r="V171" i="2" s="1"/>
  <c r="X171" i="2" s="1"/>
  <c r="Z171" i="2" s="1"/>
  <c r="F174" i="2"/>
  <c r="H174" i="2" s="1"/>
  <c r="J174" i="2" s="1"/>
  <c r="L174" i="2" s="1"/>
  <c r="N174" i="2" s="1"/>
  <c r="P174" i="2" s="1"/>
  <c r="R174" i="2" s="1"/>
  <c r="T174" i="2" s="1"/>
  <c r="V174" i="2" s="1"/>
  <c r="X174" i="2" s="1"/>
  <c r="Z174" i="2" s="1"/>
  <c r="F175" i="2"/>
  <c r="H175" i="2" s="1"/>
  <c r="J175" i="2" s="1"/>
  <c r="L175" i="2" s="1"/>
  <c r="N175" i="2" s="1"/>
  <c r="P175" i="2" s="1"/>
  <c r="R175" i="2" s="1"/>
  <c r="T175" i="2" s="1"/>
  <c r="V175" i="2" s="1"/>
  <c r="X175" i="2" s="1"/>
  <c r="Z175" i="2" s="1"/>
  <c r="F178" i="2"/>
  <c r="H178" i="2" s="1"/>
  <c r="J178" i="2" s="1"/>
  <c r="L178" i="2" s="1"/>
  <c r="N178" i="2" s="1"/>
  <c r="P178" i="2" s="1"/>
  <c r="R178" i="2" s="1"/>
  <c r="T178" i="2" s="1"/>
  <c r="V178" i="2" s="1"/>
  <c r="X178" i="2" s="1"/>
  <c r="Z178" i="2" s="1"/>
  <c r="F179" i="2"/>
  <c r="H179" i="2" s="1"/>
  <c r="J179" i="2" s="1"/>
  <c r="L179" i="2" s="1"/>
  <c r="N179" i="2" s="1"/>
  <c r="P179" i="2" s="1"/>
  <c r="R179" i="2" s="1"/>
  <c r="T179" i="2" s="1"/>
  <c r="V179" i="2" s="1"/>
  <c r="X179" i="2" s="1"/>
  <c r="Z179" i="2" s="1"/>
  <c r="F180" i="2"/>
  <c r="H180" i="2" s="1"/>
  <c r="J180" i="2" s="1"/>
  <c r="L180" i="2" s="1"/>
  <c r="N180" i="2" s="1"/>
  <c r="P180" i="2" s="1"/>
  <c r="R180" i="2" s="1"/>
  <c r="T180" i="2" s="1"/>
  <c r="V180" i="2" s="1"/>
  <c r="X180" i="2" s="1"/>
  <c r="Z180" i="2" s="1"/>
  <c r="F181" i="2"/>
  <c r="H181" i="2" s="1"/>
  <c r="J181" i="2" s="1"/>
  <c r="L181" i="2" s="1"/>
  <c r="N181" i="2" s="1"/>
  <c r="P181" i="2" s="1"/>
  <c r="R181" i="2" s="1"/>
  <c r="T181" i="2" s="1"/>
  <c r="V181" i="2" s="1"/>
  <c r="X181" i="2" s="1"/>
  <c r="Z181" i="2" s="1"/>
  <c r="F182" i="2"/>
  <c r="H182" i="2" s="1"/>
  <c r="J182" i="2" s="1"/>
  <c r="L182" i="2" s="1"/>
  <c r="N182" i="2" s="1"/>
  <c r="P182" i="2" s="1"/>
  <c r="R182" i="2" s="1"/>
  <c r="T182" i="2" s="1"/>
  <c r="V182" i="2" s="1"/>
  <c r="X182" i="2" s="1"/>
  <c r="Z182" i="2" s="1"/>
  <c r="F183" i="2"/>
  <c r="H183" i="2" s="1"/>
  <c r="J183" i="2" s="1"/>
  <c r="L183" i="2" s="1"/>
  <c r="N183" i="2" s="1"/>
  <c r="P183" i="2" s="1"/>
  <c r="R183" i="2" s="1"/>
  <c r="T183" i="2" s="1"/>
  <c r="V183" i="2" s="1"/>
  <c r="X183" i="2" s="1"/>
  <c r="Z183" i="2" s="1"/>
  <c r="F187" i="2"/>
  <c r="H187" i="2" s="1"/>
  <c r="J187" i="2" s="1"/>
  <c r="L187" i="2" s="1"/>
  <c r="N187" i="2" s="1"/>
  <c r="P187" i="2" s="1"/>
  <c r="R187" i="2" s="1"/>
  <c r="T187" i="2" s="1"/>
  <c r="V187" i="2" s="1"/>
  <c r="X187" i="2" s="1"/>
  <c r="Z187" i="2" s="1"/>
  <c r="F210" i="2"/>
  <c r="H210" i="2" s="1"/>
  <c r="J210" i="2" s="1"/>
  <c r="L210" i="2" s="1"/>
  <c r="N210" i="2" s="1"/>
  <c r="P210" i="2" s="1"/>
  <c r="R210" i="2" s="1"/>
  <c r="T210" i="2" s="1"/>
  <c r="V210" i="2" s="1"/>
  <c r="X210" i="2" s="1"/>
  <c r="Z210" i="2" s="1"/>
  <c r="F216" i="2"/>
  <c r="H216" i="2" s="1"/>
  <c r="J216" i="2" s="1"/>
  <c r="L216" i="2" s="1"/>
  <c r="N216" i="2" s="1"/>
  <c r="P216" i="2" s="1"/>
  <c r="R216" i="2" s="1"/>
  <c r="T216" i="2" s="1"/>
  <c r="V216" i="2" s="1"/>
  <c r="X216" i="2" s="1"/>
  <c r="Z216" i="2" s="1"/>
  <c r="F219" i="2"/>
  <c r="H219" i="2" s="1"/>
  <c r="J219" i="2" s="1"/>
  <c r="L219" i="2" s="1"/>
  <c r="N219" i="2" s="1"/>
  <c r="P219" i="2" s="1"/>
  <c r="R219" i="2" s="1"/>
  <c r="T219" i="2" s="1"/>
  <c r="V219" i="2" s="1"/>
  <c r="X219" i="2" s="1"/>
  <c r="Z219" i="2" s="1"/>
  <c r="F220" i="2"/>
  <c r="H220" i="2" s="1"/>
  <c r="J220" i="2" s="1"/>
  <c r="L220" i="2" s="1"/>
  <c r="N220" i="2" s="1"/>
  <c r="P220" i="2" s="1"/>
  <c r="R220" i="2" s="1"/>
  <c r="T220" i="2" s="1"/>
  <c r="V220" i="2" s="1"/>
  <c r="X220" i="2" s="1"/>
  <c r="Z220" i="2" s="1"/>
  <c r="F221" i="2"/>
  <c r="H221" i="2" s="1"/>
  <c r="J221" i="2" s="1"/>
  <c r="L221" i="2" s="1"/>
  <c r="N221" i="2" s="1"/>
  <c r="P221" i="2" s="1"/>
  <c r="R221" i="2" s="1"/>
  <c r="T221" i="2" s="1"/>
  <c r="V221" i="2" s="1"/>
  <c r="X221" i="2" s="1"/>
  <c r="Z221" i="2" s="1"/>
  <c r="F222" i="2"/>
  <c r="H222" i="2" s="1"/>
  <c r="J222" i="2" s="1"/>
  <c r="L222" i="2" s="1"/>
  <c r="N222" i="2" s="1"/>
  <c r="P222" i="2" s="1"/>
  <c r="R222" i="2" s="1"/>
  <c r="T222" i="2" s="1"/>
  <c r="V222" i="2" s="1"/>
  <c r="X222" i="2" s="1"/>
  <c r="Z222" i="2" s="1"/>
  <c r="F223" i="2"/>
  <c r="H223" i="2" s="1"/>
  <c r="J223" i="2" s="1"/>
  <c r="L223" i="2" s="1"/>
  <c r="N223" i="2" s="1"/>
  <c r="P223" i="2" s="1"/>
  <c r="R223" i="2" s="1"/>
  <c r="T223" i="2" s="1"/>
  <c r="V223" i="2" s="1"/>
  <c r="X223" i="2" s="1"/>
  <c r="Z223" i="2" s="1"/>
  <c r="F224" i="2"/>
  <c r="H224" i="2" s="1"/>
  <c r="J224" i="2" s="1"/>
  <c r="L224" i="2" s="1"/>
  <c r="N224" i="2" s="1"/>
  <c r="P224" i="2" s="1"/>
  <c r="R224" i="2" s="1"/>
  <c r="T224" i="2" s="1"/>
  <c r="V224" i="2" s="1"/>
  <c r="X224" i="2" s="1"/>
  <c r="Z224" i="2" s="1"/>
  <c r="F227" i="2"/>
  <c r="H227" i="2" s="1"/>
  <c r="J227" i="2" s="1"/>
  <c r="L227" i="2" s="1"/>
  <c r="N227" i="2" s="1"/>
  <c r="P227" i="2" s="1"/>
  <c r="R227" i="2" s="1"/>
  <c r="T227" i="2" s="1"/>
  <c r="V227" i="2" s="1"/>
  <c r="X227" i="2" s="1"/>
  <c r="Z227" i="2" s="1"/>
  <c r="F228" i="2"/>
  <c r="H228" i="2" s="1"/>
  <c r="J228" i="2" s="1"/>
  <c r="L228" i="2" s="1"/>
  <c r="N228" i="2" s="1"/>
  <c r="P228" i="2" s="1"/>
  <c r="R228" i="2" s="1"/>
  <c r="T228" i="2" s="1"/>
  <c r="V228" i="2" s="1"/>
  <c r="X228" i="2" s="1"/>
  <c r="Z228" i="2" s="1"/>
  <c r="F229" i="2"/>
  <c r="H229" i="2" s="1"/>
  <c r="J229" i="2" s="1"/>
  <c r="L229" i="2" s="1"/>
  <c r="N229" i="2" s="1"/>
  <c r="P229" i="2" s="1"/>
  <c r="R229" i="2" s="1"/>
  <c r="T229" i="2" s="1"/>
  <c r="V229" i="2" s="1"/>
  <c r="X229" i="2" s="1"/>
  <c r="Z229" i="2" s="1"/>
  <c r="F232" i="2"/>
  <c r="H232" i="2" s="1"/>
  <c r="J232" i="2" s="1"/>
  <c r="L232" i="2" s="1"/>
  <c r="N232" i="2" s="1"/>
  <c r="P232" i="2" s="1"/>
  <c r="R232" i="2" s="1"/>
  <c r="T232" i="2" s="1"/>
  <c r="V232" i="2" s="1"/>
  <c r="X232" i="2" s="1"/>
  <c r="Z232" i="2" s="1"/>
  <c r="E148" i="2" l="1"/>
  <c r="E127" i="2"/>
  <c r="E250" i="2"/>
  <c r="E252" i="2"/>
  <c r="E18" i="2"/>
  <c r="D22" i="2"/>
  <c r="F21" i="2"/>
  <c r="H21" i="2" s="1"/>
  <c r="J21" i="2" s="1"/>
  <c r="L21" i="2" s="1"/>
  <c r="N21" i="2" s="1"/>
  <c r="P21" i="2" s="1"/>
  <c r="R21" i="2" s="1"/>
  <c r="T21" i="2" s="1"/>
  <c r="V21" i="2" s="1"/>
  <c r="X21" i="2" s="1"/>
  <c r="Z21" i="2" s="1"/>
  <c r="D20" i="2"/>
  <c r="F20" i="2" s="1"/>
  <c r="H20" i="2" s="1"/>
  <c r="J20" i="2" s="1"/>
  <c r="L20" i="2" s="1"/>
  <c r="N20" i="2" s="1"/>
  <c r="P20" i="2" s="1"/>
  <c r="R20" i="2" s="1"/>
  <c r="T20" i="2" s="1"/>
  <c r="V20" i="2" s="1"/>
  <c r="X20" i="2" s="1"/>
  <c r="Z20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Z58" i="2" s="1"/>
  <c r="D54" i="2"/>
  <c r="D249" i="2" s="1"/>
  <c r="F249" i="2" s="1"/>
  <c r="H249" i="2" s="1"/>
  <c r="J249" i="2" s="1"/>
  <c r="L249" i="2" s="1"/>
  <c r="N249" i="2" s="1"/>
  <c r="P249" i="2" s="1"/>
  <c r="R249" i="2" s="1"/>
  <c r="T249" i="2" s="1"/>
  <c r="V249" i="2" s="1"/>
  <c r="X249" i="2" s="1"/>
  <c r="Z249" i="2" s="1"/>
  <c r="D50" i="2"/>
  <c r="F50" i="2" s="1"/>
  <c r="H50" i="2" s="1"/>
  <c r="J50" i="2" s="1"/>
  <c r="L50" i="2" s="1"/>
  <c r="N50" i="2" s="1"/>
  <c r="P50" i="2" s="1"/>
  <c r="R50" i="2" s="1"/>
  <c r="T50" i="2" s="1"/>
  <c r="V50" i="2" s="1"/>
  <c r="X50" i="2" s="1"/>
  <c r="Z50" i="2" s="1"/>
  <c r="D45" i="2"/>
  <c r="F45" i="2" s="1"/>
  <c r="H45" i="2" s="1"/>
  <c r="J45" i="2" s="1"/>
  <c r="L45" i="2" s="1"/>
  <c r="N45" i="2" s="1"/>
  <c r="P45" i="2" s="1"/>
  <c r="R45" i="2" s="1"/>
  <c r="T45" i="2" s="1"/>
  <c r="V45" i="2" s="1"/>
  <c r="X45" i="2" s="1"/>
  <c r="Z45" i="2" s="1"/>
  <c r="D33" i="2"/>
  <c r="F33" i="2" s="1"/>
  <c r="H33" i="2" s="1"/>
  <c r="J33" i="2" s="1"/>
  <c r="L33" i="2" s="1"/>
  <c r="N33" i="2" s="1"/>
  <c r="P33" i="2" s="1"/>
  <c r="R33" i="2" s="1"/>
  <c r="T33" i="2" s="1"/>
  <c r="V33" i="2" s="1"/>
  <c r="X33" i="2" s="1"/>
  <c r="Z33" i="2" s="1"/>
  <c r="F54" i="2" l="1"/>
  <c r="H54" i="2" s="1"/>
  <c r="J54" i="2" s="1"/>
  <c r="L54" i="2" s="1"/>
  <c r="N54" i="2" s="1"/>
  <c r="P54" i="2" s="1"/>
  <c r="R54" i="2" s="1"/>
  <c r="T54" i="2" s="1"/>
  <c r="V54" i="2" s="1"/>
  <c r="X54" i="2" s="1"/>
  <c r="Z54" i="2" s="1"/>
  <c r="D246" i="2"/>
  <c r="F246" i="2" s="1"/>
  <c r="H246" i="2" s="1"/>
  <c r="J246" i="2" s="1"/>
  <c r="L246" i="2" s="1"/>
  <c r="N246" i="2" s="1"/>
  <c r="P246" i="2" s="1"/>
  <c r="R246" i="2" s="1"/>
  <c r="T246" i="2" s="1"/>
  <c r="V246" i="2" s="1"/>
  <c r="X246" i="2" s="1"/>
  <c r="Z246" i="2" s="1"/>
  <c r="F22" i="2"/>
  <c r="H22" i="2" s="1"/>
  <c r="J22" i="2" s="1"/>
  <c r="L22" i="2" s="1"/>
  <c r="N22" i="2" s="1"/>
  <c r="P22" i="2" s="1"/>
  <c r="R22" i="2" s="1"/>
  <c r="T22" i="2" s="1"/>
  <c r="V22" i="2" s="1"/>
  <c r="X22" i="2" s="1"/>
  <c r="Z22" i="2" s="1"/>
  <c r="D18" i="2"/>
  <c r="D254" i="2"/>
  <c r="F254" i="2" s="1"/>
  <c r="H254" i="2" s="1"/>
  <c r="J254" i="2" s="1"/>
  <c r="L254" i="2" s="1"/>
  <c r="N254" i="2" s="1"/>
  <c r="P254" i="2" s="1"/>
  <c r="R254" i="2" s="1"/>
  <c r="T254" i="2" s="1"/>
  <c r="V254" i="2" s="1"/>
  <c r="X254" i="2" s="1"/>
  <c r="Z254" i="2" s="1"/>
  <c r="D253" i="2"/>
  <c r="F253" i="2" s="1"/>
  <c r="H253" i="2" s="1"/>
  <c r="J253" i="2" s="1"/>
  <c r="L253" i="2" s="1"/>
  <c r="N253" i="2" s="1"/>
  <c r="P253" i="2" s="1"/>
  <c r="R253" i="2" s="1"/>
  <c r="T253" i="2" s="1"/>
  <c r="V253" i="2" s="1"/>
  <c r="X253" i="2" s="1"/>
  <c r="Z253" i="2" s="1"/>
  <c r="D84" i="2"/>
  <c r="D83" i="2"/>
  <c r="F83" i="2" s="1"/>
  <c r="H83" i="2" s="1"/>
  <c r="J83" i="2" s="1"/>
  <c r="L83" i="2" s="1"/>
  <c r="N83" i="2" s="1"/>
  <c r="P83" i="2" s="1"/>
  <c r="R83" i="2" s="1"/>
  <c r="T83" i="2" s="1"/>
  <c r="V83" i="2" s="1"/>
  <c r="X83" i="2" s="1"/>
  <c r="Z83" i="2" s="1"/>
  <c r="D114" i="2"/>
  <c r="D111" i="2"/>
  <c r="F111" i="2" s="1"/>
  <c r="H111" i="2" s="1"/>
  <c r="J111" i="2" s="1"/>
  <c r="L111" i="2" s="1"/>
  <c r="N111" i="2" s="1"/>
  <c r="P111" i="2" s="1"/>
  <c r="R111" i="2" s="1"/>
  <c r="T111" i="2" s="1"/>
  <c r="V111" i="2" s="1"/>
  <c r="X111" i="2" s="1"/>
  <c r="Z111" i="2" s="1"/>
  <c r="D105" i="2"/>
  <c r="F105" i="2" s="1"/>
  <c r="H105" i="2" s="1"/>
  <c r="J105" i="2" s="1"/>
  <c r="L105" i="2" s="1"/>
  <c r="N105" i="2" s="1"/>
  <c r="P105" i="2" s="1"/>
  <c r="R105" i="2" s="1"/>
  <c r="T105" i="2" s="1"/>
  <c r="V105" i="2" s="1"/>
  <c r="X105" i="2" s="1"/>
  <c r="Z105" i="2" s="1"/>
  <c r="F18" i="2" l="1"/>
  <c r="H18" i="2" s="1"/>
  <c r="J18" i="2" s="1"/>
  <c r="L18" i="2" s="1"/>
  <c r="N18" i="2" s="1"/>
  <c r="P18" i="2" s="1"/>
  <c r="R18" i="2" s="1"/>
  <c r="T18" i="2" s="1"/>
  <c r="V18" i="2" s="1"/>
  <c r="X18" i="2" s="1"/>
  <c r="Z18" i="2" s="1"/>
  <c r="D81" i="2"/>
  <c r="D251" i="2"/>
  <c r="D215" i="2" l="1"/>
  <c r="F215" i="2" s="1"/>
  <c r="H215" i="2" s="1"/>
  <c r="J215" i="2" s="1"/>
  <c r="L215" i="2" s="1"/>
  <c r="N215" i="2" s="1"/>
  <c r="P215" i="2" s="1"/>
  <c r="R215" i="2" s="1"/>
  <c r="T215" i="2" s="1"/>
  <c r="V215" i="2" s="1"/>
  <c r="X215" i="2" s="1"/>
  <c r="Z215" i="2" s="1"/>
  <c r="D214" i="2"/>
  <c r="F214" i="2" s="1"/>
  <c r="H214" i="2" s="1"/>
  <c r="J214" i="2" s="1"/>
  <c r="L214" i="2" s="1"/>
  <c r="N214" i="2" s="1"/>
  <c r="P214" i="2" s="1"/>
  <c r="R214" i="2" s="1"/>
  <c r="T214" i="2" s="1"/>
  <c r="V214" i="2" s="1"/>
  <c r="X214" i="2" s="1"/>
  <c r="Z214" i="2" s="1"/>
  <c r="D217" i="2"/>
  <c r="D250" i="2" l="1"/>
  <c r="F250" i="2" s="1"/>
  <c r="H250" i="2" s="1"/>
  <c r="J250" i="2" s="1"/>
  <c r="L250" i="2" s="1"/>
  <c r="N250" i="2" s="1"/>
  <c r="P250" i="2" s="1"/>
  <c r="R250" i="2" s="1"/>
  <c r="T250" i="2" s="1"/>
  <c r="V250" i="2" s="1"/>
  <c r="X250" i="2" s="1"/>
  <c r="Z250" i="2" s="1"/>
  <c r="F217" i="2"/>
  <c r="H217" i="2" s="1"/>
  <c r="J217" i="2" s="1"/>
  <c r="L217" i="2" s="1"/>
  <c r="N217" i="2" s="1"/>
  <c r="P217" i="2" s="1"/>
  <c r="R217" i="2" s="1"/>
  <c r="T217" i="2" s="1"/>
  <c r="V217" i="2" s="1"/>
  <c r="X217" i="2" s="1"/>
  <c r="Z217" i="2" s="1"/>
  <c r="D212" i="2"/>
  <c r="F212" i="2" s="1"/>
  <c r="H212" i="2" s="1"/>
  <c r="J212" i="2" s="1"/>
  <c r="L212" i="2" s="1"/>
  <c r="N212" i="2" s="1"/>
  <c r="P212" i="2" s="1"/>
  <c r="R212" i="2" s="1"/>
  <c r="T212" i="2" s="1"/>
  <c r="V212" i="2" s="1"/>
  <c r="X212" i="2" s="1"/>
  <c r="Z212" i="2" s="1"/>
  <c r="D226" i="2" l="1"/>
  <c r="F226" i="2" s="1"/>
  <c r="H226" i="2" s="1"/>
  <c r="J226" i="2" s="1"/>
  <c r="L226" i="2" s="1"/>
  <c r="N226" i="2" s="1"/>
  <c r="P226" i="2" s="1"/>
  <c r="R226" i="2" s="1"/>
  <c r="T226" i="2" s="1"/>
  <c r="V226" i="2" s="1"/>
  <c r="X226" i="2" s="1"/>
  <c r="Z226" i="2" s="1"/>
  <c r="D151" i="2" l="1"/>
  <c r="D150" i="2"/>
  <c r="F150" i="2" s="1"/>
  <c r="H150" i="2" s="1"/>
  <c r="J150" i="2" s="1"/>
  <c r="L150" i="2" s="1"/>
  <c r="N150" i="2" s="1"/>
  <c r="P150" i="2" s="1"/>
  <c r="R150" i="2" s="1"/>
  <c r="T150" i="2" s="1"/>
  <c r="V150" i="2" s="1"/>
  <c r="X150" i="2" s="1"/>
  <c r="Z150" i="2" s="1"/>
  <c r="D130" i="2"/>
  <c r="F130" i="2" s="1"/>
  <c r="H130" i="2" s="1"/>
  <c r="J130" i="2" s="1"/>
  <c r="L130" i="2" s="1"/>
  <c r="N130" i="2" s="1"/>
  <c r="P130" i="2" s="1"/>
  <c r="R130" i="2" s="1"/>
  <c r="T130" i="2" s="1"/>
  <c r="V130" i="2" s="1"/>
  <c r="X130" i="2" s="1"/>
  <c r="Z130" i="2" s="1"/>
  <c r="D129" i="2"/>
  <c r="F129" i="2" s="1"/>
  <c r="H129" i="2" s="1"/>
  <c r="J129" i="2" s="1"/>
  <c r="L129" i="2" s="1"/>
  <c r="N129" i="2" s="1"/>
  <c r="P129" i="2" s="1"/>
  <c r="R129" i="2" s="1"/>
  <c r="T129" i="2" s="1"/>
  <c r="V129" i="2" s="1"/>
  <c r="X129" i="2" s="1"/>
  <c r="Z129" i="2" s="1"/>
  <c r="D244" i="2" l="1"/>
  <c r="F244" i="2" s="1"/>
  <c r="H244" i="2" s="1"/>
  <c r="J244" i="2" s="1"/>
  <c r="L244" i="2" s="1"/>
  <c r="N244" i="2" s="1"/>
  <c r="P244" i="2" s="1"/>
  <c r="R244" i="2" s="1"/>
  <c r="T244" i="2" s="1"/>
  <c r="V244" i="2" s="1"/>
  <c r="X244" i="2" s="1"/>
  <c r="Z244" i="2" s="1"/>
  <c r="F151" i="2"/>
  <c r="H151" i="2" s="1"/>
  <c r="J151" i="2" s="1"/>
  <c r="L151" i="2" s="1"/>
  <c r="N151" i="2" s="1"/>
  <c r="P151" i="2" s="1"/>
  <c r="R151" i="2" s="1"/>
  <c r="T151" i="2" s="1"/>
  <c r="V151" i="2" s="1"/>
  <c r="X151" i="2" s="1"/>
  <c r="Z151" i="2" s="1"/>
  <c r="D127" i="2"/>
  <c r="D138" i="2"/>
  <c r="F138" i="2" s="1"/>
  <c r="H138" i="2" s="1"/>
  <c r="J138" i="2" s="1"/>
  <c r="L138" i="2" s="1"/>
  <c r="N138" i="2" s="1"/>
  <c r="P138" i="2" s="1"/>
  <c r="R138" i="2" s="1"/>
  <c r="T138" i="2" s="1"/>
  <c r="V138" i="2" s="1"/>
  <c r="X138" i="2" s="1"/>
  <c r="Z138" i="2" s="1"/>
  <c r="F127" i="2" l="1"/>
  <c r="H127" i="2" s="1"/>
  <c r="J127" i="2" s="1"/>
  <c r="L127" i="2" s="1"/>
  <c r="N127" i="2" s="1"/>
  <c r="P127" i="2" s="1"/>
  <c r="R127" i="2" s="1"/>
  <c r="T127" i="2" s="1"/>
  <c r="V127" i="2" s="1"/>
  <c r="X127" i="2" s="1"/>
  <c r="Z127" i="2" s="1"/>
  <c r="D176" i="2"/>
  <c r="F176" i="2" s="1"/>
  <c r="H176" i="2" s="1"/>
  <c r="J176" i="2" s="1"/>
  <c r="L176" i="2" s="1"/>
  <c r="N176" i="2" s="1"/>
  <c r="P176" i="2" s="1"/>
  <c r="R176" i="2" s="1"/>
  <c r="T176" i="2" s="1"/>
  <c r="V176" i="2" s="1"/>
  <c r="X176" i="2" s="1"/>
  <c r="Z176" i="2" s="1"/>
  <c r="D172" i="2"/>
  <c r="F172" i="2" s="1"/>
  <c r="H172" i="2" s="1"/>
  <c r="J172" i="2" s="1"/>
  <c r="L172" i="2" s="1"/>
  <c r="N172" i="2" s="1"/>
  <c r="P172" i="2" s="1"/>
  <c r="R172" i="2" s="1"/>
  <c r="T172" i="2" s="1"/>
  <c r="V172" i="2" s="1"/>
  <c r="X172" i="2" s="1"/>
  <c r="Z172" i="2" s="1"/>
  <c r="D168" i="2"/>
  <c r="F168" i="2" s="1"/>
  <c r="H168" i="2" s="1"/>
  <c r="J168" i="2" s="1"/>
  <c r="L168" i="2" s="1"/>
  <c r="N168" i="2" s="1"/>
  <c r="P168" i="2" s="1"/>
  <c r="R168" i="2" s="1"/>
  <c r="T168" i="2" s="1"/>
  <c r="V168" i="2" s="1"/>
  <c r="X168" i="2" s="1"/>
  <c r="Z168" i="2" s="1"/>
  <c r="D164" i="2"/>
  <c r="F164" i="2" s="1"/>
  <c r="H164" i="2" s="1"/>
  <c r="J164" i="2" s="1"/>
  <c r="L164" i="2" s="1"/>
  <c r="N164" i="2" s="1"/>
  <c r="P164" i="2" s="1"/>
  <c r="R164" i="2" s="1"/>
  <c r="T164" i="2" s="1"/>
  <c r="V164" i="2" s="1"/>
  <c r="X164" i="2" s="1"/>
  <c r="Z164" i="2" s="1"/>
  <c r="D160" i="2"/>
  <c r="F160" i="2" s="1"/>
  <c r="H160" i="2" s="1"/>
  <c r="J160" i="2" s="1"/>
  <c r="L160" i="2" s="1"/>
  <c r="N160" i="2" s="1"/>
  <c r="P160" i="2" s="1"/>
  <c r="R160" i="2" s="1"/>
  <c r="T160" i="2" s="1"/>
  <c r="V160" i="2" s="1"/>
  <c r="X160" i="2" s="1"/>
  <c r="Z160" i="2" s="1"/>
  <c r="D152" i="2"/>
  <c r="F152" i="2" s="1"/>
  <c r="H152" i="2" s="1"/>
  <c r="J152" i="2" s="1"/>
  <c r="L152" i="2" s="1"/>
  <c r="N152" i="2" s="1"/>
  <c r="P152" i="2" s="1"/>
  <c r="R152" i="2" s="1"/>
  <c r="T152" i="2" s="1"/>
  <c r="V152" i="2" s="1"/>
  <c r="X152" i="2" s="1"/>
  <c r="Z152" i="2" s="1"/>
  <c r="D156" i="2"/>
  <c r="F156" i="2" s="1"/>
  <c r="H156" i="2" s="1"/>
  <c r="J156" i="2" s="1"/>
  <c r="L156" i="2" s="1"/>
  <c r="N156" i="2" s="1"/>
  <c r="P156" i="2" s="1"/>
  <c r="R156" i="2" s="1"/>
  <c r="T156" i="2" s="1"/>
  <c r="V156" i="2" s="1"/>
  <c r="X156" i="2" s="1"/>
  <c r="Z156" i="2" s="1"/>
  <c r="D252" i="2" l="1"/>
  <c r="F252" i="2" s="1"/>
  <c r="H252" i="2" s="1"/>
  <c r="J252" i="2" s="1"/>
  <c r="L252" i="2" s="1"/>
  <c r="N252" i="2" s="1"/>
  <c r="P252" i="2" s="1"/>
  <c r="R252" i="2" s="1"/>
  <c r="T252" i="2" s="1"/>
  <c r="V252" i="2" s="1"/>
  <c r="X252" i="2" s="1"/>
  <c r="Z252" i="2" s="1"/>
  <c r="D209" i="2" l="1"/>
  <c r="F209" i="2" s="1"/>
  <c r="H209" i="2" s="1"/>
  <c r="J209" i="2" s="1"/>
  <c r="L209" i="2" s="1"/>
  <c r="N209" i="2" s="1"/>
  <c r="P209" i="2" s="1"/>
  <c r="R209" i="2" s="1"/>
  <c r="T209" i="2" s="1"/>
  <c r="V209" i="2" s="1"/>
  <c r="X209" i="2" s="1"/>
  <c r="Z209" i="2" s="1"/>
  <c r="D245" i="2" l="1"/>
  <c r="D148" i="2" l="1"/>
  <c r="F148" i="2" l="1"/>
  <c r="H148" i="2" s="1"/>
  <c r="J148" i="2" s="1"/>
  <c r="L148" i="2" s="1"/>
  <c r="N148" i="2" s="1"/>
  <c r="P148" i="2" s="1"/>
  <c r="R148" i="2" s="1"/>
  <c r="T148" i="2" s="1"/>
  <c r="V148" i="2" s="1"/>
  <c r="X148" i="2" s="1"/>
  <c r="Z148" i="2" s="1"/>
  <c r="D231" i="2"/>
  <c r="F231" i="2" s="1"/>
  <c r="H231" i="2" s="1"/>
  <c r="J231" i="2" s="1"/>
  <c r="L231" i="2" s="1"/>
  <c r="N231" i="2" s="1"/>
  <c r="P231" i="2" s="1"/>
  <c r="R231" i="2" s="1"/>
  <c r="T231" i="2" s="1"/>
  <c r="V231" i="2" s="1"/>
  <c r="X231" i="2" s="1"/>
  <c r="Z231" i="2" s="1"/>
  <c r="D242" i="2" l="1"/>
  <c r="F116" i="2"/>
  <c r="H116" i="2" s="1"/>
  <c r="J116" i="2" s="1"/>
  <c r="L116" i="2" s="1"/>
  <c r="N116" i="2" s="1"/>
  <c r="P116" i="2" s="1"/>
  <c r="R116" i="2" s="1"/>
  <c r="T116" i="2" s="1"/>
  <c r="V116" i="2" s="1"/>
  <c r="X116" i="2" s="1"/>
  <c r="Z116" i="2" s="1"/>
  <c r="E114" i="2"/>
  <c r="E251" i="2" s="1"/>
  <c r="F251" i="2" s="1"/>
  <c r="H251" i="2" s="1"/>
  <c r="J251" i="2" s="1"/>
  <c r="L251" i="2" s="1"/>
  <c r="N251" i="2" s="1"/>
  <c r="P251" i="2" s="1"/>
  <c r="R251" i="2" s="1"/>
  <c r="T251" i="2" s="1"/>
  <c r="V251" i="2" s="1"/>
  <c r="X251" i="2" s="1"/>
  <c r="Z251" i="2" s="1"/>
  <c r="E84" i="2"/>
  <c r="E81" i="2" s="1"/>
  <c r="E242" i="2" s="1"/>
  <c r="F242" i="2" l="1"/>
  <c r="H242" i="2" s="1"/>
  <c r="J242" i="2" s="1"/>
  <c r="L242" i="2" s="1"/>
  <c r="N242" i="2" s="1"/>
  <c r="P242" i="2" s="1"/>
  <c r="R242" i="2" s="1"/>
  <c r="T242" i="2" s="1"/>
  <c r="V242" i="2" s="1"/>
  <c r="X242" i="2" s="1"/>
  <c r="Z242" i="2" s="1"/>
  <c r="F81" i="2"/>
  <c r="H81" i="2" s="1"/>
  <c r="J81" i="2" s="1"/>
  <c r="L81" i="2" s="1"/>
  <c r="N81" i="2" s="1"/>
  <c r="P81" i="2" s="1"/>
  <c r="R81" i="2" s="1"/>
  <c r="T81" i="2" s="1"/>
  <c r="V81" i="2" s="1"/>
  <c r="X81" i="2" s="1"/>
  <c r="Z81" i="2" s="1"/>
  <c r="F114" i="2"/>
  <c r="H114" i="2" s="1"/>
  <c r="J114" i="2" s="1"/>
  <c r="L114" i="2" s="1"/>
  <c r="N114" i="2" s="1"/>
  <c r="P114" i="2" s="1"/>
  <c r="R114" i="2" s="1"/>
  <c r="T114" i="2" s="1"/>
  <c r="V114" i="2" s="1"/>
  <c r="X114" i="2" s="1"/>
  <c r="Z114" i="2" s="1"/>
  <c r="F84" i="2"/>
  <c r="H84" i="2" s="1"/>
  <c r="J84" i="2" s="1"/>
  <c r="L84" i="2" s="1"/>
  <c r="N84" i="2" s="1"/>
  <c r="P84" i="2" s="1"/>
  <c r="R84" i="2" s="1"/>
  <c r="T84" i="2" s="1"/>
  <c r="V84" i="2" s="1"/>
  <c r="X84" i="2" s="1"/>
  <c r="Z84" i="2" s="1"/>
  <c r="E245" i="2"/>
  <c r="F245" i="2" s="1"/>
  <c r="H245" i="2" s="1"/>
  <c r="J245" i="2" s="1"/>
  <c r="L245" i="2" s="1"/>
  <c r="N245" i="2" s="1"/>
  <c r="P245" i="2" s="1"/>
  <c r="R245" i="2" s="1"/>
  <c r="T245" i="2" s="1"/>
  <c r="V245" i="2" s="1"/>
  <c r="X245" i="2" s="1"/>
  <c r="Z245" i="2" s="1"/>
</calcChain>
</file>

<file path=xl/sharedStrings.xml><?xml version="1.0" encoding="utf-8"?>
<sst xmlns="http://schemas.openxmlformats.org/spreadsheetml/2006/main" count="586" uniqueCount="302">
  <si>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</si>
  <si>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</si>
  <si>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</si>
  <si>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</si>
  <si>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</si>
  <si>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</si>
  <si>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</si>
  <si>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</si>
  <si>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</si>
  <si>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</si>
  <si>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</si>
  <si>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</si>
  <si>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</si>
  <si>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</si>
  <si>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</si>
  <si>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</si>
  <si>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</si>
  <si>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</si>
  <si>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</si>
  <si>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</si>
  <si>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</si>
  <si>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</si>
  <si>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</si>
  <si>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</si>
  <si>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</si>
  <si>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</si>
  <si>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</si>
  <si>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</si>
  <si>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</si>
  <si>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</si>
  <si>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</si>
  <si>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</si>
  <si>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</si>
  <si>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</si>
  <si>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</si>
  <si>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</si>
  <si>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</si>
  <si>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</si>
  <si>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1020141280,10201ST04I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</si>
  <si>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</si>
  <si>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</si>
  <si>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</si>
  <si>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</si>
  <si>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</si>
  <si>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</si>
  <si>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</si>
  <si>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</si>
  <si>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</si>
  <si>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</si>
  <si>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</si>
  <si>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</si>
  <si>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</si>
  <si>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</si>
  <si>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</si>
  <si>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</si>
  <si>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</si>
  <si>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</si>
  <si>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</si>
  <si>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</si>
  <si>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</si>
  <si>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</si>
  <si>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</si>
  <si>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</si>
  <si>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</si>
  <si>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</si>
  <si>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</si>
  <si>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</si>
  <si>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</si>
  <si>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</si>
  <si>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</si>
  <si>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</si>
  <si>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</si>
  <si>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</si>
  <si>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</si>
  <si>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</si>
  <si>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</si>
  <si>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</si>
  <si>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</si>
  <si>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</si>
  <si>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</si>
  <si>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</si>
  <si>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</si>
  <si>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</si>
  <si>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</si>
  <si>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</si>
  <si>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</si>
  <si>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</si>
  <si>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</si>
  <si>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</si>
  <si>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</si>
  <si>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</si>
  <si>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</si>
  <si>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</si>
  <si>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</si>
  <si>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0810143530</t>
  </si>
  <si>
    <t>0820141160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</si>
  <si>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</si>
  <si>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</si>
  <si>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</si>
  <si>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</si>
  <si>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</si>
  <si>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</si>
  <si>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</si>
  <si>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</si>
  <si>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</si>
  <si>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</si>
  <si>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</si>
  <si>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</si>
  <si>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</si>
  <si>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</si>
  <si>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</si>
  <si>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</si>
  <si>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</si>
  <si>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</si>
  <si>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</si>
  <si>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</si>
  <si>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</si>
  <si>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</si>
  <si>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</si>
  <si>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</si>
  <si>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</si>
  <si>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</si>
  <si>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</si>
  <si>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</si>
  <si>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</si>
  <si>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</si>
  <si>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</si>
  <si>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</si>
  <si>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</si>
  <si>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</si>
  <si>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</si>
  <si>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</si>
  <si>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</si>
  <si>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</si>
  <si>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</si>
  <si>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</si>
  <si>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</si>
  <si>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</si>
  <si>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</si>
  <si>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</si>
  <si>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</si>
  <si>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</si>
  <si>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</si>
  <si>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</si>
  <si>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</si>
  <si>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</si>
  <si>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</si>
  <si>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</si>
  <si>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</si>
  <si>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</si>
  <si>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</si>
  <si>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</si>
  <si>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</si>
  <si>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</si>
  <si>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</si>
  <si>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</si>
  <si>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</si>
  <si>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</si>
  <si>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59.</t>
  </si>
  <si>
    <t>05101SP040</t>
  </si>
  <si>
    <t>08201SP040</t>
  </si>
  <si>
    <t>10201SТ040</t>
  </si>
  <si>
    <t>Строительство сетей водоснабжения в микрорайонах города Перми</t>
  </si>
  <si>
    <t xml:space="preserve">Строительство автомобильной дороги по ул. Маршала Жукова 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</si>
  <si>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</si>
  <si>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</si>
  <si>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</si>
  <si>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</si>
  <si>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</si>
  <si>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</si>
  <si>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</si>
  <si>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</si>
  <si>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</si>
  <si>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</si>
  <si>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Поправки</t>
  </si>
  <si>
    <t>1510109502</t>
  </si>
  <si>
    <t>0820142120, 08201SH072</t>
  </si>
  <si>
    <t>0820141590, 08201SН071, 08201SР04В</t>
  </si>
  <si>
    <t>08201SР040, 08201SH070</t>
  </si>
  <si>
    <t>08201SН071</t>
  </si>
  <si>
    <t>08201SН070</t>
  </si>
  <si>
    <t>Уточнение февраль</t>
  </si>
  <si>
    <t>Реконструкция здания МАУ «Дворец молодежи» г. Перми</t>
  </si>
  <si>
    <t>0410241910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</si>
  <si>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</si>
  <si>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</si>
  <si>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ул. Социалистической от ПК7 до ПК10+50 с разворотным кольцом</t>
  </si>
  <si>
    <t xml:space="preserve">Реконструкция ул. Карпинского от ул. Мира до шоссе Космонавтов
</t>
  </si>
  <si>
    <t>Строительство автомобильной дороги Переход ул. Строителей – площадь Гайдара</t>
  </si>
  <si>
    <t>1020141930</t>
  </si>
  <si>
    <t>10201ST04N</t>
  </si>
  <si>
    <t>10201ST045</t>
  </si>
  <si>
    <t>1020341290</t>
  </si>
  <si>
    <t>1020141790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</si>
  <si>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</si>
  <si>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</si>
  <si>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Строительство сквера по ул. Екатерининской, 171</t>
  </si>
  <si>
    <t>1110541710</t>
  </si>
  <si>
    <t>1110541810</t>
  </si>
  <si>
    <t>1110541840</t>
  </si>
  <si>
    <t>10201ST04G, 1020141510</t>
  </si>
  <si>
    <t>08101L1590</t>
  </si>
  <si>
    <t>08101L1590, 08101SР040</t>
  </si>
  <si>
    <t>57.</t>
  </si>
  <si>
    <t>58.</t>
  </si>
  <si>
    <t>60.</t>
  </si>
  <si>
    <t>61.</t>
  </si>
  <si>
    <t>62.</t>
  </si>
  <si>
    <t>63.</t>
  </si>
  <si>
    <t>64.</t>
  </si>
  <si>
    <t>65.</t>
  </si>
  <si>
    <t>08201SР047, 082041390</t>
  </si>
  <si>
    <t>05101SР043, 0510141440</t>
  </si>
  <si>
    <t>Департамент жилищно-коммунального хозяйства</t>
  </si>
  <si>
    <t>Строительство резервуара для воды емкостью 5000 кубических метров на территории насосной станции «Заречная» города Перми</t>
  </si>
  <si>
    <t>Реконструкция системы очистки сточных вод в микрорайоне «Крым» Кировского района города Перми</t>
  </si>
  <si>
    <t>Санация и строительство 2-й нитки водовода Гайва - Заозерье</t>
  </si>
  <si>
    <t>Строительство водопроводных сетей в микрорайоне «Висим» Мотовилихинского района города Перми</t>
  </si>
  <si>
    <t>1710141150</t>
  </si>
  <si>
    <t>1710141090</t>
  </si>
  <si>
    <t>1710142260</t>
  </si>
  <si>
    <t>1710141210</t>
  </si>
  <si>
    <t>1710442380</t>
  </si>
  <si>
    <t>1710141320</t>
  </si>
  <si>
    <t>66.</t>
  </si>
  <si>
    <t>67.</t>
  </si>
  <si>
    <t>68.</t>
  </si>
  <si>
    <t>69.</t>
  </si>
  <si>
    <t>70.</t>
  </si>
  <si>
    <t>71.</t>
  </si>
  <si>
    <t>1020142320, 10201ST04Z</t>
  </si>
  <si>
    <t>Строительство тротуара по ул. Таежной в микрорайоне Соболи</t>
  </si>
  <si>
    <t>Реконструкция сквера на нижней части набережной реки Кама</t>
  </si>
  <si>
    <t>1320243710</t>
  </si>
  <si>
    <t xml:space="preserve">Реконструкция здания по ул. Ижевская, 25 </t>
  </si>
  <si>
    <t>0220443720</t>
  </si>
  <si>
    <t>ПРИЛОЖЕНИЕ 9</t>
  </si>
  <si>
    <t>от 18.12.2018 № 270</t>
  </si>
  <si>
    <t>Комитет февраль</t>
  </si>
  <si>
    <t>Уточнение апрель</t>
  </si>
  <si>
    <t>10201ST200</t>
  </si>
  <si>
    <t>Изъятие земельных участков и объектов недвижимости, имущества для реконструкции дорожных объектов города Перми</t>
  </si>
  <si>
    <t>1020142310, 10201ST04T</t>
  </si>
  <si>
    <t>Строительство автомобильной дороги «Соединение ул. Старцева – проспект Октябрят – ул. Восстания»</t>
  </si>
  <si>
    <t>10201ST04R</t>
  </si>
  <si>
    <t>10201ST040</t>
  </si>
  <si>
    <t>081P252320</t>
  </si>
  <si>
    <t>Оснащение безвозмездно переданного в муниципальную собственность здания для размещения дошкольной образовательной организации по ул. Революции</t>
  </si>
  <si>
    <t>0810141600, 081P252320</t>
  </si>
  <si>
    <t>0810141610, 081P252320</t>
  </si>
  <si>
    <t>0810141640, 08101SР04А, 081P252320</t>
  </si>
  <si>
    <t>Строительство здания для размещения дошкольного образовательного учреждения по ул. Байкальской, 26а</t>
  </si>
  <si>
    <t>0810141680, 081P252320</t>
  </si>
  <si>
    <t>0820141720, 08201SН073, 08201SP045</t>
  </si>
  <si>
    <t>0820241970</t>
  </si>
  <si>
    <t>Реконструкция стадиона «Юность»</t>
  </si>
  <si>
    <t>0510142140</t>
  </si>
  <si>
    <t>Комитет апрель</t>
  </si>
  <si>
    <t>Уточнение июнь</t>
  </si>
  <si>
    <t>Строительство системы очистных сооружений и водоотвода ливневых стоков на набережной реки Камы</t>
  </si>
  <si>
    <t>1020142520</t>
  </si>
  <si>
    <t>средства Фонда содействия реформированию жилищно-коммунального хозяйства</t>
  </si>
  <si>
    <t>15101SЖ160, 151F309602</t>
  </si>
  <si>
    <t>15101SЖ160, 1510142010, 1530100000, 1510121480, 151F309602</t>
  </si>
  <si>
    <t>13202SЖ240, 13202SP040</t>
  </si>
  <si>
    <t>1320242020, 13202SЖ241, 13202SP049</t>
  </si>
  <si>
    <t>0820141390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</si>
  <si>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</si>
  <si>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91900SЦ550</t>
  </si>
  <si>
    <t>Прочие объекты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</si>
  <si>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</si>
  <si>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Комитет июнь</t>
  </si>
  <si>
    <t>Уточнение август</t>
  </si>
  <si>
    <t>10201SТ040, 102R1ST040</t>
  </si>
  <si>
    <t>0210441040</t>
  </si>
  <si>
    <t>Строительство нового корпуса МАОУ «СОШ № 129» г. Перми</t>
  </si>
  <si>
    <t>0820141580</t>
  </si>
  <si>
    <t>0820142510</t>
  </si>
  <si>
    <t xml:space="preserve">Приобретение нежилого помещения для размещения участкового пункта полиции </t>
  </si>
  <si>
    <t>1020142570,10201ST04A</t>
  </si>
  <si>
    <t>0510141440</t>
  </si>
  <si>
    <t xml:space="preserve">Строительство блочной модульной котельной в микрорайоне «Южный» </t>
  </si>
  <si>
    <t>Строительство нового корпуса МАОУ «Техно-школа имени лётчика космонавта СССР, дважды героя советского союза В. П. Савиных» г. Перми</t>
  </si>
  <si>
    <t>081P251590</t>
  </si>
  <si>
    <t>Комитет август</t>
  </si>
  <si>
    <t>Строительство спортивной площадки МАОУ  «СОШ № 122» г. Перми</t>
  </si>
  <si>
    <t>Уточнение октябрь</t>
  </si>
  <si>
    <t>Строительство здания общеобразовательного учреждения по ул. Карпинского, 77а</t>
  </si>
  <si>
    <t>0820142550</t>
  </si>
  <si>
    <t>Строительство нового корпуса здания МАОУ «СОШ № 42» г. Перми по адресу: ул. Нестерова, 18 в г. Перми</t>
  </si>
  <si>
    <t>0820141180</t>
  </si>
  <si>
    <t>0810141690</t>
  </si>
  <si>
    <t xml:space="preserve">Департамент  дорог и благоустройства </t>
  </si>
  <si>
    <t>Департамент земельных отношений</t>
  </si>
  <si>
    <t>1020141500, 10201ST04D, 102R1ST04D</t>
  </si>
  <si>
    <t>9190041010</t>
  </si>
  <si>
    <t>Реконструкция здания МАДОУ «Детский сад  «IT мир» г. Перми</t>
  </si>
  <si>
    <t xml:space="preserve">Департамент дорог и благоустройства </t>
  </si>
  <si>
    <t>Строительство ул. Углеуральской</t>
  </si>
  <si>
    <t>151F309502, 151F367483</t>
  </si>
  <si>
    <t>ПРИЛОЖЕНИЕ 7</t>
  </si>
  <si>
    <t>от 17.12.2019 №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</si>
</sst>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49" fontId="4" fillId="3" borderId="0" xfId="0" applyNumberFormat="1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wrapText="1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56"/>
  <sheetViews>
    <sheetView tabSelected="1" zoomScale="70" zoomScaleNormal="70" workbookViewId="0">
      <selection activeCell="Z16" sqref="Z16:Z17"/>
    </sheetView>
  </sheetViews>
  <sheetFormatPr defaultColWidth="9.109375" defaultRowHeight="18" x14ac:dyDescent="0.3"/>
  <cols>
    <col min="1" max="1" width="5.44140625" style="56" customWidth="1"/>
    <col min="2" max="2" width="76.88671875" style="57" customWidth="1"/>
    <col min="3" max="3" width="20.33203125" style="58" customWidth="1"/>
    <col min="4" max="23" width="17.5546875" style="14" hidden="1" customWidth="1"/>
    <col min="24" max="24" width="21.109375" style="14" hidden="1" customWidth="1"/>
    <col min="25" max="25" width="21.21875" style="19" hidden="1" customWidth="1"/>
    <col min="26" max="26" width="17.5546875" style="68" customWidth="1"/>
    <col min="27" max="27" width="27.88671875" style="16" hidden="1" customWidth="1"/>
    <col min="28" max="28" width="6.109375" style="6" hidden="1" customWidth="1"/>
    <col min="29" max="29" width="20.88671875" style="2" hidden="1" customWidth="1"/>
    <col min="30" max="35" width="20.88671875" style="56" customWidth="1"/>
    <col min="36" max="36" width="22.88671875" style="56" customWidth="1"/>
    <col min="37" max="37" width="20.33203125" style="56" customWidth="1"/>
    <col min="38" max="46" width="20.88671875" style="56" customWidth="1"/>
    <col min="47" max="16384" width="9.109375" style="56"/>
  </cols>
  <sheetData>
    <row r="1" spans="1:27" x14ac:dyDescent="0.3">
      <c r="Z1" s="68" t="s">
        <v>300</v>
      </c>
    </row>
    <row r="2" spans="1:27" x14ac:dyDescent="0.3">
      <c r="Z2" s="68" t="s">
        <v>21</v>
      </c>
    </row>
    <row r="3" spans="1:27" x14ac:dyDescent="0.3">
      <c r="Z3" s="68" t="s">
        <v>22</v>
      </c>
    </row>
    <row r="4" spans="1:27" x14ac:dyDescent="0.3">
      <c r="C4" s="126" t="s">
        <v>301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6"/>
    </row>
    <row r="6" spans="1:27" x14ac:dyDescent="0.3">
      <c r="Z6" s="68" t="s">
        <v>236</v>
      </c>
    </row>
    <row r="7" spans="1:27" x14ac:dyDescent="0.3">
      <c r="Z7" s="68" t="s">
        <v>21</v>
      </c>
    </row>
    <row r="8" spans="1:27" x14ac:dyDescent="0.3">
      <c r="D8" s="15"/>
      <c r="E8" s="15"/>
      <c r="F8" s="15"/>
      <c r="G8" s="15"/>
      <c r="I8" s="15"/>
      <c r="K8" s="15"/>
      <c r="M8" s="15"/>
      <c r="O8" s="15"/>
      <c r="Q8" s="15"/>
      <c r="S8" s="15"/>
      <c r="U8" s="15"/>
      <c r="W8" s="15"/>
      <c r="Y8" s="20"/>
      <c r="Z8" s="68" t="s">
        <v>22</v>
      </c>
    </row>
    <row r="9" spans="1:27" x14ac:dyDescent="0.3">
      <c r="D9" s="15"/>
      <c r="E9" s="15"/>
      <c r="F9" s="15"/>
      <c r="G9" s="15"/>
      <c r="I9" s="15"/>
      <c r="K9" s="15"/>
      <c r="M9" s="15"/>
      <c r="O9" s="15"/>
      <c r="Q9" s="15"/>
      <c r="S9" s="15"/>
      <c r="U9" s="15"/>
      <c r="W9" s="15"/>
      <c r="Y9" s="20"/>
      <c r="Z9" s="68" t="s">
        <v>237</v>
      </c>
    </row>
    <row r="10" spans="1:27" x14ac:dyDescent="0.3">
      <c r="D10" s="15"/>
      <c r="E10" s="15"/>
      <c r="F10" s="15"/>
      <c r="G10" s="15"/>
      <c r="I10" s="15"/>
      <c r="K10" s="15"/>
      <c r="M10" s="15"/>
      <c r="O10" s="15"/>
      <c r="Q10" s="15"/>
      <c r="S10" s="15"/>
      <c r="U10" s="15"/>
      <c r="W10" s="15"/>
      <c r="Y10" s="20"/>
    </row>
    <row r="11" spans="1:27" ht="18.75" customHeight="1" x14ac:dyDescent="0.3">
      <c r="A11" s="96" t="s">
        <v>27</v>
      </c>
      <c r="B11" s="97"/>
      <c r="C11" s="98"/>
      <c r="D11" s="99"/>
      <c r="E11" s="100"/>
      <c r="F11" s="101"/>
      <c r="G11" s="100"/>
      <c r="H11" s="101"/>
      <c r="I11" s="100"/>
      <c r="J11" s="100"/>
      <c r="K11" s="100"/>
      <c r="L11" s="101"/>
      <c r="M11" s="100"/>
      <c r="N11" s="100"/>
      <c r="O11" s="100"/>
      <c r="P11" s="101"/>
      <c r="Q11" s="100"/>
      <c r="R11" s="100"/>
      <c r="S11" s="100"/>
      <c r="T11" s="101"/>
      <c r="U11" s="100"/>
      <c r="V11" s="100"/>
      <c r="W11" s="100"/>
      <c r="X11" s="101"/>
      <c r="Y11" s="100"/>
      <c r="Z11" s="102"/>
    </row>
    <row r="12" spans="1:27" ht="15.75" customHeight="1" x14ac:dyDescent="0.3">
      <c r="A12" s="96" t="s">
        <v>28</v>
      </c>
      <c r="B12" s="97"/>
      <c r="C12" s="98"/>
      <c r="D12" s="99"/>
      <c r="E12" s="100"/>
      <c r="F12" s="101"/>
      <c r="G12" s="100"/>
      <c r="H12" s="101"/>
      <c r="I12" s="100"/>
      <c r="J12" s="100"/>
      <c r="K12" s="100"/>
      <c r="L12" s="101"/>
      <c r="M12" s="100"/>
      <c r="N12" s="100"/>
      <c r="O12" s="100"/>
      <c r="P12" s="101"/>
      <c r="Q12" s="100"/>
      <c r="R12" s="100"/>
      <c r="S12" s="100"/>
      <c r="T12" s="101"/>
      <c r="U12" s="100"/>
      <c r="V12" s="100"/>
      <c r="W12" s="100"/>
      <c r="X12" s="101"/>
      <c r="Y12" s="100"/>
      <c r="Z12" s="102"/>
    </row>
    <row r="13" spans="1:27" ht="19.5" customHeight="1" x14ac:dyDescent="0.3">
      <c r="A13" s="103"/>
      <c r="B13" s="97"/>
      <c r="C13" s="98"/>
      <c r="D13" s="99"/>
      <c r="E13" s="100"/>
      <c r="F13" s="101"/>
      <c r="G13" s="100"/>
      <c r="H13" s="101"/>
      <c r="I13" s="100"/>
      <c r="J13" s="100"/>
      <c r="K13" s="100"/>
      <c r="L13" s="101"/>
      <c r="M13" s="100"/>
      <c r="N13" s="100"/>
      <c r="O13" s="100"/>
      <c r="P13" s="101"/>
      <c r="Q13" s="100"/>
      <c r="R13" s="100"/>
      <c r="S13" s="100"/>
      <c r="T13" s="101"/>
      <c r="U13" s="100"/>
      <c r="V13" s="100"/>
      <c r="W13" s="100"/>
      <c r="X13" s="101"/>
      <c r="Y13" s="100"/>
      <c r="Z13" s="102"/>
    </row>
    <row r="14" spans="1:27" ht="19.5" customHeight="1" x14ac:dyDescent="0.3">
      <c r="A14" s="59"/>
      <c r="B14" s="60"/>
      <c r="C14" s="61"/>
      <c r="D14" s="53"/>
      <c r="E14" s="54"/>
      <c r="F14" s="55"/>
      <c r="G14" s="54"/>
      <c r="H14" s="55"/>
      <c r="I14" s="54"/>
      <c r="J14" s="54"/>
      <c r="K14" s="54"/>
      <c r="L14" s="55"/>
      <c r="M14" s="54"/>
      <c r="N14" s="54"/>
      <c r="O14" s="54"/>
      <c r="P14" s="55"/>
      <c r="Q14" s="54"/>
      <c r="R14" s="54"/>
      <c r="S14" s="54"/>
      <c r="T14" s="55"/>
      <c r="U14" s="54"/>
      <c r="V14" s="54"/>
      <c r="W14" s="54"/>
      <c r="X14" s="55"/>
      <c r="Y14" s="54"/>
      <c r="Z14" s="69"/>
    </row>
    <row r="15" spans="1:27" x14ac:dyDescent="0.3">
      <c r="A15" s="62"/>
      <c r="B15" s="63"/>
      <c r="Z15" s="68" t="s">
        <v>23</v>
      </c>
      <c r="AA15" s="17"/>
    </row>
    <row r="16" spans="1:27" ht="36.6" customHeight="1" x14ac:dyDescent="0.3">
      <c r="A16" s="106" t="s">
        <v>0</v>
      </c>
      <c r="B16" s="106" t="s">
        <v>17</v>
      </c>
      <c r="C16" s="106" t="s">
        <v>13</v>
      </c>
      <c r="D16" s="104" t="s">
        <v>83</v>
      </c>
      <c r="E16" s="104" t="s">
        <v>174</v>
      </c>
      <c r="F16" s="104" t="s">
        <v>83</v>
      </c>
      <c r="G16" s="104" t="s">
        <v>181</v>
      </c>
      <c r="H16" s="104" t="s">
        <v>83</v>
      </c>
      <c r="I16" s="104" t="s">
        <v>238</v>
      </c>
      <c r="J16" s="104" t="s">
        <v>83</v>
      </c>
      <c r="K16" s="104" t="s">
        <v>239</v>
      </c>
      <c r="L16" s="104" t="s">
        <v>83</v>
      </c>
      <c r="M16" s="104" t="s">
        <v>257</v>
      </c>
      <c r="N16" s="104" t="s">
        <v>83</v>
      </c>
      <c r="O16" s="104" t="s">
        <v>258</v>
      </c>
      <c r="P16" s="104" t="s">
        <v>83</v>
      </c>
      <c r="Q16" s="104" t="s">
        <v>271</v>
      </c>
      <c r="R16" s="104" t="s">
        <v>83</v>
      </c>
      <c r="S16" s="104" t="s">
        <v>272</v>
      </c>
      <c r="T16" s="104" t="s">
        <v>83</v>
      </c>
      <c r="U16" s="104" t="s">
        <v>284</v>
      </c>
      <c r="V16" s="104" t="s">
        <v>83</v>
      </c>
      <c r="W16" s="104" t="s">
        <v>286</v>
      </c>
      <c r="X16" s="104" t="s">
        <v>83</v>
      </c>
      <c r="Y16" s="92" t="s">
        <v>286</v>
      </c>
      <c r="Z16" s="94" t="s">
        <v>83</v>
      </c>
    </row>
    <row r="17" spans="1:29" ht="21" hidden="1" customHeight="1" x14ac:dyDescent="0.3">
      <c r="A17" s="107"/>
      <c r="B17" s="107"/>
      <c r="C17" s="107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93"/>
      <c r="Z17" s="95"/>
    </row>
    <row r="18" spans="1:29" x14ac:dyDescent="0.3">
      <c r="A18" s="64"/>
      <c r="B18" s="65" t="s">
        <v>1</v>
      </c>
      <c r="C18" s="66"/>
      <c r="D18" s="22">
        <f>D20+D21+D22</f>
        <v>1120344.9000000001</v>
      </c>
      <c r="E18" s="22">
        <f>E20+E21+E22</f>
        <v>22156.135000000002</v>
      </c>
      <c r="F18" s="22">
        <f>D18+E18</f>
        <v>1142501.0350000001</v>
      </c>
      <c r="G18" s="22">
        <f>G20+G21+G22</f>
        <v>-39422.465000000004</v>
      </c>
      <c r="H18" s="22">
        <f>F18+G18</f>
        <v>1103078.57</v>
      </c>
      <c r="I18" s="22">
        <f>I20+I21+I22</f>
        <v>0</v>
      </c>
      <c r="J18" s="22">
        <f>H18+I18</f>
        <v>1103078.57</v>
      </c>
      <c r="K18" s="22">
        <f>K20+K21+K22</f>
        <v>4797.804999999993</v>
      </c>
      <c r="L18" s="22">
        <f>J18+K18</f>
        <v>1107876.375</v>
      </c>
      <c r="M18" s="22">
        <f>M20+M21+M22</f>
        <v>-8185.34</v>
      </c>
      <c r="N18" s="22">
        <f>L18+M18</f>
        <v>1099691.0349999999</v>
      </c>
      <c r="O18" s="22">
        <f>O20+O21+O22</f>
        <v>5586.3119999999999</v>
      </c>
      <c r="P18" s="22">
        <f>N18+O18</f>
        <v>1105277.3469999998</v>
      </c>
      <c r="Q18" s="22">
        <f>Q20+Q21+Q22</f>
        <v>0</v>
      </c>
      <c r="R18" s="22">
        <f>P18+Q18</f>
        <v>1105277.3469999998</v>
      </c>
      <c r="S18" s="22">
        <f>S20+S21+S22</f>
        <v>-125034.534</v>
      </c>
      <c r="T18" s="22">
        <f>R18+S18</f>
        <v>980242.81299999985</v>
      </c>
      <c r="U18" s="22">
        <f>U20+U21+U22</f>
        <v>-2266.5940000000001</v>
      </c>
      <c r="V18" s="22">
        <f>T18+U18</f>
        <v>977976.21899999981</v>
      </c>
      <c r="W18" s="22">
        <f>W20+W21+W22</f>
        <v>-62243.261000000006</v>
      </c>
      <c r="X18" s="22">
        <f>V18+W18</f>
        <v>915732.95799999975</v>
      </c>
      <c r="Y18" s="22">
        <f>Y20+Y21+Y22</f>
        <v>-31755.253000000001</v>
      </c>
      <c r="Z18" s="70">
        <f>X18+Y18</f>
        <v>883977.70499999973</v>
      </c>
      <c r="AA18" s="48"/>
      <c r="AB18" s="49"/>
      <c r="AC18" s="52"/>
    </row>
    <row r="19" spans="1:29" x14ac:dyDescent="0.3">
      <c r="A19" s="64"/>
      <c r="B19" s="67" t="s">
        <v>2</v>
      </c>
      <c r="C19" s="66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70"/>
    </row>
    <row r="20" spans="1:29" s="2" customFormat="1" hidden="1" x14ac:dyDescent="0.35">
      <c r="A20" s="1"/>
      <c r="B20" s="8" t="s">
        <v>3</v>
      </c>
      <c r="C20" s="7"/>
      <c r="D20" s="25">
        <f>D23+D28+D35+D38+D39+D47+D49+D52+D56+D60+D63+D64+D65+D66+D67+D68+D69</f>
        <v>691494.9</v>
      </c>
      <c r="E20" s="25">
        <f>E23+E28+E35+E38+E39+E47+E49+E52+E56+E60+E63+E64+E65+E66+E67+E68+E69</f>
        <v>22156.135000000002</v>
      </c>
      <c r="F20" s="23">
        <f t="shared" ref="F20:F117" si="0">D20+E20</f>
        <v>713651.03500000003</v>
      </c>
      <c r="G20" s="25">
        <f>G23+G28+G35+G38+G39+G47+G49+G52+G56+G60+G63+G64+G65+G66+G67+G68+G69</f>
        <v>-39422.465000000004</v>
      </c>
      <c r="H20" s="23">
        <f t="shared" ref="H20:H33" si="1">F20+G20</f>
        <v>674228.57000000007</v>
      </c>
      <c r="I20" s="25">
        <f>I23+I28+I35+I38+I39+I47+I49+I52+I56+I60+I63+I64+I65+I66+I67+I68+I69</f>
        <v>0</v>
      </c>
      <c r="J20" s="23">
        <f t="shared" ref="J20:J33" si="2">H20+I20</f>
        <v>674228.57000000007</v>
      </c>
      <c r="K20" s="25">
        <f>K35+K38+K47+K49+K52+K56+K60+K63+K64+K65+K66+K67+K68+K69+K41+K30+K25+K72+K75</f>
        <v>-94735.835999999981</v>
      </c>
      <c r="L20" s="23">
        <f t="shared" ref="L20:L33" si="3">J20+K20</f>
        <v>579492.73400000005</v>
      </c>
      <c r="M20" s="25">
        <f>M35+M38+M47+M49+M52+M56+M60+M63+M64+M65+M66+M67+M68+M69+M41+M30+M25+M72+M75</f>
        <v>-8185.34</v>
      </c>
      <c r="N20" s="23">
        <f t="shared" ref="N20:N23" si="4">L20+M20</f>
        <v>571307.39400000009</v>
      </c>
      <c r="O20" s="25">
        <f>O35+O38+O47+O49+O52+O56+O60+O63+O64+O65+O66+O67+O68+O69+O41+O30+O25+O72+O75+O44</f>
        <v>5586.3119999999999</v>
      </c>
      <c r="P20" s="23">
        <f t="shared" ref="P20:P23" si="5">N20+O20</f>
        <v>576893.70600000012</v>
      </c>
      <c r="Q20" s="25">
        <f>Q35+Q38+Q47+Q49+Q52+Q56+Q60+Q63+Q64+Q65+Q66+Q67+Q68+Q69+Q41+Q30+Q25+Q72+Q75+Q44</f>
        <v>0</v>
      </c>
      <c r="R20" s="23">
        <f t="shared" ref="R20:R23" si="6">P20+Q20</f>
        <v>576893.70600000012</v>
      </c>
      <c r="S20" s="25">
        <f>S35+S38+S47+S49+S52+S56+S60+S63+S64+S65+S66+S67+S68+S69+S41+S30+S25+S72+S75+S44+S76+S77</f>
        <v>-125034.534</v>
      </c>
      <c r="T20" s="23">
        <f t="shared" ref="T20:T23" si="7">R20+S20</f>
        <v>451859.17200000014</v>
      </c>
      <c r="U20" s="25">
        <f>U35+U38+U47+U49+U52+U56+U60+U63+U64+U65+U66+U67+U68+U69+U41+U30+U25+U72+U75+U44+U76+U77</f>
        <v>-2266.5940000000001</v>
      </c>
      <c r="V20" s="23">
        <f t="shared" ref="V20:V23" si="8">T20+U20</f>
        <v>449592.57800000015</v>
      </c>
      <c r="W20" s="25">
        <f>W35+W38+W47+W49+W52+W56+W60+W63+W64+W65+W66+W67+W68+W69+W41+W30+W25+W72+W75+W44+W76+W77+W78+W79+W80</f>
        <v>-62243.261000000006</v>
      </c>
      <c r="X20" s="23">
        <f t="shared" ref="X20:X23" si="9">V20+W20</f>
        <v>387349.31700000016</v>
      </c>
      <c r="Y20" s="26">
        <f>Y35+Y38+Y47+Y49+Y52+Y56+Y60+Y63+Y64+Y65+Y66+Y67+Y68+Y69+Y41+Y30+Y25+Y72+Y75+Y44+Y76+Y77+Y78+Y79+Y80</f>
        <v>-31755.253000000001</v>
      </c>
      <c r="Z20" s="23">
        <f t="shared" ref="Z20:Z23" si="10">X20+Y20</f>
        <v>355594.06400000013</v>
      </c>
      <c r="AA20" s="16"/>
      <c r="AB20" s="6">
        <v>0</v>
      </c>
    </row>
    <row r="21" spans="1:29" x14ac:dyDescent="0.3">
      <c r="A21" s="64"/>
      <c r="B21" s="67" t="s">
        <v>16</v>
      </c>
      <c r="C21" s="66"/>
      <c r="D21" s="23">
        <f>D36+D48+D53+D57+D61</f>
        <v>378355.19999999995</v>
      </c>
      <c r="E21" s="23">
        <f>E36+E48+E53+E57+E61</f>
        <v>0</v>
      </c>
      <c r="F21" s="23">
        <f t="shared" si="0"/>
        <v>378355.19999999995</v>
      </c>
      <c r="G21" s="23">
        <f>G36+G48+G53+G57+G61</f>
        <v>0</v>
      </c>
      <c r="H21" s="23">
        <f t="shared" si="1"/>
        <v>378355.19999999995</v>
      </c>
      <c r="I21" s="23">
        <f>I36+I48+I53+I57+I61</f>
        <v>0</v>
      </c>
      <c r="J21" s="23">
        <f t="shared" si="2"/>
        <v>378355.19999999995</v>
      </c>
      <c r="K21" s="23">
        <f>K36+K48+K53+K57+K61+K42+K26+K31+K73</f>
        <v>-83064.659</v>
      </c>
      <c r="L21" s="23">
        <f t="shared" si="3"/>
        <v>295290.54099999997</v>
      </c>
      <c r="M21" s="23">
        <f>M36+M48+M53+M57+M61+M42+M26+M31+M73</f>
        <v>0</v>
      </c>
      <c r="N21" s="23">
        <f t="shared" si="4"/>
        <v>295290.54099999997</v>
      </c>
      <c r="O21" s="23">
        <f>O36+O48+O53+O57+O61+O42+O26+O31+O73</f>
        <v>0</v>
      </c>
      <c r="P21" s="23">
        <f t="shared" si="5"/>
        <v>295290.54099999997</v>
      </c>
      <c r="Q21" s="23">
        <f>Q36+Q48+Q53+Q57+Q61+Q42+Q26+Q31+Q73</f>
        <v>0</v>
      </c>
      <c r="R21" s="23">
        <f t="shared" si="6"/>
        <v>295290.54099999997</v>
      </c>
      <c r="S21" s="23">
        <f>S36+S48+S53+S57+S61+S42+S26+S31+S73</f>
        <v>0</v>
      </c>
      <c r="T21" s="23">
        <f t="shared" si="7"/>
        <v>295290.54099999997</v>
      </c>
      <c r="U21" s="23">
        <f>U36+U48+U53+U57+U61+U42+U26+U31+U73</f>
        <v>0</v>
      </c>
      <c r="V21" s="23">
        <f t="shared" si="8"/>
        <v>295290.54099999997</v>
      </c>
      <c r="W21" s="23">
        <f>W36+W48+W53+W57+W61+W42+W26+W31+W73</f>
        <v>0</v>
      </c>
      <c r="X21" s="23">
        <f t="shared" si="9"/>
        <v>295290.54099999997</v>
      </c>
      <c r="Y21" s="24">
        <f>Y36+Y48+Y53+Y57+Y61+Y42+Y26+Y31+Y73</f>
        <v>0</v>
      </c>
      <c r="Z21" s="70">
        <f t="shared" si="10"/>
        <v>295290.54099999997</v>
      </c>
    </row>
    <row r="22" spans="1:29" x14ac:dyDescent="0.3">
      <c r="A22" s="64"/>
      <c r="B22" s="67" t="s">
        <v>20</v>
      </c>
      <c r="C22" s="66"/>
      <c r="D22" s="23">
        <f>D37</f>
        <v>50494.8</v>
      </c>
      <c r="E22" s="23">
        <f>E37</f>
        <v>0</v>
      </c>
      <c r="F22" s="23">
        <f t="shared" si="0"/>
        <v>50494.8</v>
      </c>
      <c r="G22" s="23">
        <f>G37</f>
        <v>0</v>
      </c>
      <c r="H22" s="23">
        <f t="shared" si="1"/>
        <v>50494.8</v>
      </c>
      <c r="I22" s="23">
        <f>I37</f>
        <v>0</v>
      </c>
      <c r="J22" s="23">
        <f t="shared" si="2"/>
        <v>50494.8</v>
      </c>
      <c r="K22" s="23">
        <f>K37+K43+K27+K32+K74</f>
        <v>182598.3</v>
      </c>
      <c r="L22" s="23">
        <f t="shared" si="3"/>
        <v>233093.09999999998</v>
      </c>
      <c r="M22" s="23">
        <f>M37+M43+M27+M32+M74</f>
        <v>0</v>
      </c>
      <c r="N22" s="23">
        <f t="shared" si="4"/>
        <v>233093.09999999998</v>
      </c>
      <c r="O22" s="23">
        <f>O37+O43+O27+O32+O74</f>
        <v>0</v>
      </c>
      <c r="P22" s="23">
        <f t="shared" si="5"/>
        <v>233093.09999999998</v>
      </c>
      <c r="Q22" s="23">
        <f>Q37+Q43+Q27+Q32+Q74</f>
        <v>0</v>
      </c>
      <c r="R22" s="23">
        <f t="shared" si="6"/>
        <v>233093.09999999998</v>
      </c>
      <c r="S22" s="23">
        <f>S37+S43+S27+S32+S74</f>
        <v>0</v>
      </c>
      <c r="T22" s="23">
        <f t="shared" si="7"/>
        <v>233093.09999999998</v>
      </c>
      <c r="U22" s="23">
        <f>U37+U43+U27+U32+U74</f>
        <v>0</v>
      </c>
      <c r="V22" s="23">
        <f t="shared" si="8"/>
        <v>233093.09999999998</v>
      </c>
      <c r="W22" s="23">
        <f>W37+W43+W27+W32+W74</f>
        <v>0</v>
      </c>
      <c r="X22" s="23">
        <f t="shared" si="9"/>
        <v>233093.09999999998</v>
      </c>
      <c r="Y22" s="24">
        <f>Y37+Y43+Y27+Y32+Y74</f>
        <v>0</v>
      </c>
      <c r="Z22" s="70">
        <f t="shared" si="10"/>
        <v>233093.09999999998</v>
      </c>
    </row>
    <row r="23" spans="1:29" ht="66" customHeight="1" x14ac:dyDescent="0.3">
      <c r="A23" s="64" t="s">
        <v>102</v>
      </c>
      <c r="B23" s="71" t="s">
        <v>184</v>
      </c>
      <c r="C23" s="72" t="s">
        <v>45</v>
      </c>
      <c r="D23" s="23">
        <f>D25</f>
        <v>11540.8</v>
      </c>
      <c r="E23" s="23"/>
      <c r="F23" s="23">
        <f t="shared" si="0"/>
        <v>11540.8</v>
      </c>
      <c r="G23" s="23"/>
      <c r="H23" s="23">
        <f t="shared" si="1"/>
        <v>11540.8</v>
      </c>
      <c r="I23" s="23"/>
      <c r="J23" s="23">
        <f t="shared" si="2"/>
        <v>11540.8</v>
      </c>
      <c r="K23" s="23">
        <f>K25+K26+K27</f>
        <v>82182.080000000002</v>
      </c>
      <c r="L23" s="23">
        <f t="shared" si="3"/>
        <v>93722.880000000005</v>
      </c>
      <c r="M23" s="23">
        <f>M25+M26+M27</f>
        <v>0</v>
      </c>
      <c r="N23" s="23">
        <f t="shared" si="4"/>
        <v>93722.880000000005</v>
      </c>
      <c r="O23" s="23">
        <f>O25+O26+O27</f>
        <v>0</v>
      </c>
      <c r="P23" s="23">
        <f t="shared" si="5"/>
        <v>93722.880000000005</v>
      </c>
      <c r="Q23" s="23">
        <f>Q25+Q26+Q27</f>
        <v>0</v>
      </c>
      <c r="R23" s="23">
        <f t="shared" si="6"/>
        <v>93722.880000000005</v>
      </c>
      <c r="S23" s="23">
        <f>S25+S26+S27</f>
        <v>0</v>
      </c>
      <c r="T23" s="23">
        <f t="shared" si="7"/>
        <v>93722.880000000005</v>
      </c>
      <c r="U23" s="23">
        <f>U25+U26+U27</f>
        <v>0</v>
      </c>
      <c r="V23" s="23">
        <f t="shared" si="8"/>
        <v>93722.880000000005</v>
      </c>
      <c r="W23" s="23">
        <f>W25+W26+W27</f>
        <v>-15088.441000000001</v>
      </c>
      <c r="X23" s="23">
        <f t="shared" si="9"/>
        <v>78634.438999999998</v>
      </c>
      <c r="Y23" s="24">
        <f>Y25+Y26+Y27</f>
        <v>0</v>
      </c>
      <c r="Z23" s="70">
        <f t="shared" si="10"/>
        <v>78634.438999999998</v>
      </c>
    </row>
    <row r="24" spans="1:29" x14ac:dyDescent="0.35">
      <c r="A24" s="64"/>
      <c r="B24" s="67" t="s">
        <v>2</v>
      </c>
      <c r="C24" s="65"/>
      <c r="D24" s="25"/>
      <c r="E24" s="25"/>
      <c r="F24" s="23"/>
      <c r="G24" s="25"/>
      <c r="H24" s="23"/>
      <c r="I24" s="25"/>
      <c r="J24" s="23"/>
      <c r="K24" s="25"/>
      <c r="L24" s="23"/>
      <c r="M24" s="25"/>
      <c r="N24" s="23"/>
      <c r="O24" s="25"/>
      <c r="P24" s="23"/>
      <c r="Q24" s="25"/>
      <c r="R24" s="23"/>
      <c r="S24" s="25"/>
      <c r="T24" s="23"/>
      <c r="U24" s="25"/>
      <c r="V24" s="23"/>
      <c r="W24" s="25"/>
      <c r="X24" s="23"/>
      <c r="Y24" s="26"/>
      <c r="Z24" s="70"/>
    </row>
    <row r="25" spans="1:29" s="2" customFormat="1" hidden="1" x14ac:dyDescent="0.35">
      <c r="A25" s="1"/>
      <c r="B25" s="8" t="s">
        <v>3</v>
      </c>
      <c r="C25" s="7"/>
      <c r="D25" s="25">
        <v>11540.8</v>
      </c>
      <c r="E25" s="25"/>
      <c r="F25" s="23">
        <f t="shared" si="0"/>
        <v>11540.8</v>
      </c>
      <c r="G25" s="25"/>
      <c r="H25" s="23">
        <f t="shared" si="1"/>
        <v>11540.8</v>
      </c>
      <c r="I25" s="25"/>
      <c r="J25" s="23">
        <f t="shared" si="2"/>
        <v>11540.8</v>
      </c>
      <c r="K25" s="25">
        <f>15264.83+66.85</f>
        <v>15331.68</v>
      </c>
      <c r="L25" s="23">
        <f t="shared" si="3"/>
        <v>26872.48</v>
      </c>
      <c r="M25" s="25"/>
      <c r="N25" s="23">
        <f t="shared" ref="N25:N27" si="11">L25+M25</f>
        <v>26872.48</v>
      </c>
      <c r="O25" s="25"/>
      <c r="P25" s="23">
        <f t="shared" ref="P25:P27" si="12">N25+O25</f>
        <v>26872.48</v>
      </c>
      <c r="Q25" s="25"/>
      <c r="R25" s="23">
        <f t="shared" ref="R25:R27" si="13">P25+Q25</f>
        <v>26872.48</v>
      </c>
      <c r="S25" s="25"/>
      <c r="T25" s="23">
        <f t="shared" ref="T25:T27" si="14">R25+S25</f>
        <v>26872.48</v>
      </c>
      <c r="U25" s="25"/>
      <c r="V25" s="23">
        <f t="shared" ref="V25:V27" si="15">T25+U25</f>
        <v>26872.48</v>
      </c>
      <c r="W25" s="25">
        <v>-15088.441000000001</v>
      </c>
      <c r="X25" s="23">
        <f t="shared" ref="X25:X27" si="16">V25+W25</f>
        <v>11784.038999999999</v>
      </c>
      <c r="Y25" s="26"/>
      <c r="Z25" s="23">
        <f t="shared" ref="Z25:Z27" si="17">X25+Y25</f>
        <v>11784.038999999999</v>
      </c>
      <c r="AA25" s="16" t="s">
        <v>248</v>
      </c>
      <c r="AB25" s="6">
        <v>0</v>
      </c>
    </row>
    <row r="26" spans="1:29" x14ac:dyDescent="0.35">
      <c r="A26" s="64"/>
      <c r="B26" s="67" t="s">
        <v>16</v>
      </c>
      <c r="C26" s="65"/>
      <c r="D26" s="25"/>
      <c r="E26" s="25"/>
      <c r="F26" s="23"/>
      <c r="G26" s="25"/>
      <c r="H26" s="23"/>
      <c r="I26" s="25"/>
      <c r="J26" s="23"/>
      <c r="K26" s="25">
        <v>3342.5</v>
      </c>
      <c r="L26" s="23">
        <f t="shared" si="3"/>
        <v>3342.5</v>
      </c>
      <c r="M26" s="25"/>
      <c r="N26" s="23">
        <f t="shared" si="11"/>
        <v>3342.5</v>
      </c>
      <c r="O26" s="25"/>
      <c r="P26" s="23">
        <f t="shared" si="12"/>
        <v>3342.5</v>
      </c>
      <c r="Q26" s="25"/>
      <c r="R26" s="23">
        <f t="shared" si="13"/>
        <v>3342.5</v>
      </c>
      <c r="S26" s="25"/>
      <c r="T26" s="23">
        <f t="shared" si="14"/>
        <v>3342.5</v>
      </c>
      <c r="U26" s="25"/>
      <c r="V26" s="23">
        <f t="shared" si="15"/>
        <v>3342.5</v>
      </c>
      <c r="W26" s="25"/>
      <c r="X26" s="23">
        <f t="shared" si="16"/>
        <v>3342.5</v>
      </c>
      <c r="Y26" s="26"/>
      <c r="Z26" s="70">
        <f t="shared" si="17"/>
        <v>3342.5</v>
      </c>
      <c r="AA26" s="16" t="s">
        <v>246</v>
      </c>
    </row>
    <row r="27" spans="1:29" x14ac:dyDescent="0.35">
      <c r="A27" s="64"/>
      <c r="B27" s="67" t="s">
        <v>20</v>
      </c>
      <c r="C27" s="65"/>
      <c r="D27" s="25"/>
      <c r="E27" s="25"/>
      <c r="F27" s="23"/>
      <c r="G27" s="25"/>
      <c r="H27" s="23"/>
      <c r="I27" s="25"/>
      <c r="J27" s="23"/>
      <c r="K27" s="25">
        <v>63507.9</v>
      </c>
      <c r="L27" s="23">
        <f t="shared" si="3"/>
        <v>63507.9</v>
      </c>
      <c r="M27" s="25"/>
      <c r="N27" s="23">
        <f t="shared" si="11"/>
        <v>63507.9</v>
      </c>
      <c r="O27" s="25"/>
      <c r="P27" s="23">
        <f t="shared" si="12"/>
        <v>63507.9</v>
      </c>
      <c r="Q27" s="25"/>
      <c r="R27" s="23">
        <f t="shared" si="13"/>
        <v>63507.9</v>
      </c>
      <c r="S27" s="25"/>
      <c r="T27" s="23">
        <f t="shared" si="14"/>
        <v>63507.9</v>
      </c>
      <c r="U27" s="25"/>
      <c r="V27" s="23">
        <f t="shared" si="15"/>
        <v>63507.9</v>
      </c>
      <c r="W27" s="25"/>
      <c r="X27" s="23">
        <f t="shared" si="16"/>
        <v>63507.9</v>
      </c>
      <c r="Y27" s="26"/>
      <c r="Z27" s="70">
        <f t="shared" si="17"/>
        <v>63507.9</v>
      </c>
      <c r="AA27" s="16" t="s">
        <v>246</v>
      </c>
    </row>
    <row r="28" spans="1:29" ht="66" customHeight="1" x14ac:dyDescent="0.3">
      <c r="A28" s="64" t="s">
        <v>104</v>
      </c>
      <c r="B28" s="71" t="s">
        <v>84</v>
      </c>
      <c r="C28" s="72" t="s">
        <v>45</v>
      </c>
      <c r="D28" s="27">
        <v>68901</v>
      </c>
      <c r="E28" s="27"/>
      <c r="F28" s="23">
        <f t="shared" si="0"/>
        <v>68901</v>
      </c>
      <c r="G28" s="27"/>
      <c r="H28" s="23">
        <f t="shared" si="1"/>
        <v>68901</v>
      </c>
      <c r="I28" s="27"/>
      <c r="J28" s="23">
        <f t="shared" si="2"/>
        <v>68901</v>
      </c>
      <c r="K28" s="27">
        <f>K30+K31+K32</f>
        <v>37604.76</v>
      </c>
      <c r="L28" s="23">
        <f>J28+K28</f>
        <v>106505.76000000001</v>
      </c>
      <c r="M28" s="27">
        <f>M30+M31+M32</f>
        <v>0</v>
      </c>
      <c r="N28" s="23">
        <f>L28+M28</f>
        <v>106505.76000000001</v>
      </c>
      <c r="O28" s="27">
        <f>O30+O31+O32</f>
        <v>0</v>
      </c>
      <c r="P28" s="23">
        <f>N28+O28</f>
        <v>106505.76000000001</v>
      </c>
      <c r="Q28" s="27">
        <f>Q30+Q31+Q32</f>
        <v>0</v>
      </c>
      <c r="R28" s="23">
        <f>P28+Q28</f>
        <v>106505.76000000001</v>
      </c>
      <c r="S28" s="27">
        <f>S30+S31+S32</f>
        <v>0</v>
      </c>
      <c r="T28" s="23">
        <f>R28+S28</f>
        <v>106505.76000000001</v>
      </c>
      <c r="U28" s="27">
        <f>U30+U31+U32</f>
        <v>0</v>
      </c>
      <c r="V28" s="23">
        <f>T28+U28</f>
        <v>106505.76000000001</v>
      </c>
      <c r="W28" s="27">
        <f>W30+W31+W32</f>
        <v>-32110.240999999998</v>
      </c>
      <c r="X28" s="24">
        <f>V28+W28</f>
        <v>74395.519000000015</v>
      </c>
      <c r="Y28" s="31">
        <f>Y30+Y31+Y32</f>
        <v>-53.303999999999988</v>
      </c>
      <c r="Z28" s="70">
        <f>X28+Y28</f>
        <v>74342.215000000011</v>
      </c>
      <c r="AB28" s="11"/>
    </row>
    <row r="29" spans="1:29" x14ac:dyDescent="0.35">
      <c r="A29" s="64"/>
      <c r="B29" s="67" t="s">
        <v>2</v>
      </c>
      <c r="C29" s="65"/>
      <c r="D29" s="25"/>
      <c r="E29" s="25"/>
      <c r="F29" s="23"/>
      <c r="G29" s="25"/>
      <c r="H29" s="23"/>
      <c r="I29" s="25"/>
      <c r="J29" s="23"/>
      <c r="K29" s="25"/>
      <c r="L29" s="23"/>
      <c r="M29" s="25"/>
      <c r="N29" s="23"/>
      <c r="O29" s="25"/>
      <c r="P29" s="23"/>
      <c r="Q29" s="25"/>
      <c r="R29" s="23"/>
      <c r="S29" s="25"/>
      <c r="T29" s="23"/>
      <c r="U29" s="25"/>
      <c r="V29" s="23"/>
      <c r="W29" s="25"/>
      <c r="X29" s="23"/>
      <c r="Y29" s="26"/>
      <c r="Z29" s="70"/>
    </row>
    <row r="30" spans="1:29" ht="20.399999999999999" hidden="1" customHeight="1" x14ac:dyDescent="0.35">
      <c r="A30" s="64"/>
      <c r="B30" s="67" t="s">
        <v>3</v>
      </c>
      <c r="C30" s="65"/>
      <c r="D30" s="27">
        <v>68901</v>
      </c>
      <c r="E30" s="25"/>
      <c r="F30" s="23">
        <f t="shared" si="0"/>
        <v>68901</v>
      </c>
      <c r="G30" s="25"/>
      <c r="H30" s="23">
        <f t="shared" si="1"/>
        <v>68901</v>
      </c>
      <c r="I30" s="25"/>
      <c r="J30" s="23">
        <f t="shared" si="2"/>
        <v>68901</v>
      </c>
      <c r="K30" s="27">
        <f>-1315.78-6091.027+44.967</f>
        <v>-7361.84</v>
      </c>
      <c r="L30" s="23">
        <f t="shared" ref="L30:L32" si="18">J30+K30</f>
        <v>61539.16</v>
      </c>
      <c r="M30" s="27"/>
      <c r="N30" s="23">
        <f t="shared" ref="N30:N33" si="19">L30+M30</f>
        <v>61539.16</v>
      </c>
      <c r="O30" s="27"/>
      <c r="P30" s="23">
        <f t="shared" ref="P30:P33" si="20">N30+O30</f>
        <v>61539.16</v>
      </c>
      <c r="Q30" s="27"/>
      <c r="R30" s="23">
        <f t="shared" ref="R30:R33" si="21">P30+Q30</f>
        <v>61539.16</v>
      </c>
      <c r="S30" s="27"/>
      <c r="T30" s="23">
        <f t="shared" ref="T30:T33" si="22">R30+S30</f>
        <v>61539.16</v>
      </c>
      <c r="U30" s="27"/>
      <c r="V30" s="23">
        <f t="shared" ref="V30:V33" si="23">T30+U30</f>
        <v>61539.16</v>
      </c>
      <c r="W30" s="27">
        <f>-31947.332-162.909</f>
        <v>-32110.240999999998</v>
      </c>
      <c r="X30" s="23">
        <f t="shared" ref="X30:X33" si="24">V30+W30</f>
        <v>29428.919000000005</v>
      </c>
      <c r="Y30" s="31">
        <f>-121.981+68.677</f>
        <v>-53.303999999999988</v>
      </c>
      <c r="Z30" s="70">
        <f t="shared" ref="Z30:Z33" si="25">X30+Y30</f>
        <v>29375.615000000005</v>
      </c>
      <c r="AA30" s="16" t="s">
        <v>249</v>
      </c>
      <c r="AB30" s="6">
        <v>0</v>
      </c>
    </row>
    <row r="31" spans="1:29" x14ac:dyDescent="0.35">
      <c r="A31" s="64"/>
      <c r="B31" s="67" t="s">
        <v>16</v>
      </c>
      <c r="C31" s="65"/>
      <c r="D31" s="25"/>
      <c r="E31" s="25"/>
      <c r="F31" s="23"/>
      <c r="G31" s="25"/>
      <c r="H31" s="23"/>
      <c r="I31" s="25"/>
      <c r="J31" s="23"/>
      <c r="K31" s="25">
        <v>2248.3000000000002</v>
      </c>
      <c r="L31" s="23">
        <f t="shared" si="18"/>
        <v>2248.3000000000002</v>
      </c>
      <c r="M31" s="25"/>
      <c r="N31" s="23">
        <f t="shared" si="19"/>
        <v>2248.3000000000002</v>
      </c>
      <c r="O31" s="25"/>
      <c r="P31" s="23">
        <f t="shared" si="20"/>
        <v>2248.3000000000002</v>
      </c>
      <c r="Q31" s="25"/>
      <c r="R31" s="23">
        <f t="shared" si="21"/>
        <v>2248.3000000000002</v>
      </c>
      <c r="S31" s="25"/>
      <c r="T31" s="23">
        <f t="shared" si="22"/>
        <v>2248.3000000000002</v>
      </c>
      <c r="U31" s="25"/>
      <c r="V31" s="23">
        <f t="shared" si="23"/>
        <v>2248.3000000000002</v>
      </c>
      <c r="W31" s="25"/>
      <c r="X31" s="23">
        <f t="shared" si="24"/>
        <v>2248.3000000000002</v>
      </c>
      <c r="Y31" s="26"/>
      <c r="Z31" s="70">
        <f t="shared" si="25"/>
        <v>2248.3000000000002</v>
      </c>
      <c r="AA31" s="16" t="s">
        <v>246</v>
      </c>
    </row>
    <row r="32" spans="1:29" x14ac:dyDescent="0.35">
      <c r="A32" s="64"/>
      <c r="B32" s="67" t="s">
        <v>20</v>
      </c>
      <c r="C32" s="65"/>
      <c r="D32" s="25"/>
      <c r="E32" s="25"/>
      <c r="F32" s="23"/>
      <c r="G32" s="25"/>
      <c r="H32" s="23"/>
      <c r="I32" s="25"/>
      <c r="J32" s="23"/>
      <c r="K32" s="25">
        <v>42718.3</v>
      </c>
      <c r="L32" s="23">
        <f t="shared" si="18"/>
        <v>42718.3</v>
      </c>
      <c r="M32" s="25"/>
      <c r="N32" s="23">
        <f t="shared" si="19"/>
        <v>42718.3</v>
      </c>
      <c r="O32" s="25"/>
      <c r="P32" s="23">
        <f t="shared" si="20"/>
        <v>42718.3</v>
      </c>
      <c r="Q32" s="25"/>
      <c r="R32" s="23">
        <f t="shared" si="21"/>
        <v>42718.3</v>
      </c>
      <c r="S32" s="25"/>
      <c r="T32" s="23">
        <f t="shared" si="22"/>
        <v>42718.3</v>
      </c>
      <c r="U32" s="25"/>
      <c r="V32" s="23">
        <f t="shared" si="23"/>
        <v>42718.3</v>
      </c>
      <c r="W32" s="25"/>
      <c r="X32" s="23">
        <f t="shared" si="24"/>
        <v>42718.3</v>
      </c>
      <c r="Y32" s="26"/>
      <c r="Z32" s="70">
        <f t="shared" si="25"/>
        <v>42718.3</v>
      </c>
      <c r="AA32" s="16" t="s">
        <v>246</v>
      </c>
    </row>
    <row r="33" spans="1:28" ht="60.75" customHeight="1" x14ac:dyDescent="0.3">
      <c r="A33" s="64" t="s">
        <v>107</v>
      </c>
      <c r="B33" s="71" t="s">
        <v>92</v>
      </c>
      <c r="C33" s="72" t="s">
        <v>45</v>
      </c>
      <c r="D33" s="23">
        <f>D35+D36+D37</f>
        <v>218445.8</v>
      </c>
      <c r="E33" s="23">
        <f>E35+E36+E37</f>
        <v>-6258.5</v>
      </c>
      <c r="F33" s="23">
        <f t="shared" si="0"/>
        <v>212187.3</v>
      </c>
      <c r="G33" s="23">
        <f>G35+G36+G37</f>
        <v>0</v>
      </c>
      <c r="H33" s="23">
        <f t="shared" si="1"/>
        <v>212187.3</v>
      </c>
      <c r="I33" s="23">
        <f>I35+I36+I37</f>
        <v>0</v>
      </c>
      <c r="J33" s="23">
        <f t="shared" si="2"/>
        <v>212187.3</v>
      </c>
      <c r="K33" s="23">
        <f>K35+K36+K37</f>
        <v>-61398.193999999989</v>
      </c>
      <c r="L33" s="23">
        <f t="shared" si="3"/>
        <v>150789.106</v>
      </c>
      <c r="M33" s="23">
        <f>M35+M36+M37</f>
        <v>0</v>
      </c>
      <c r="N33" s="23">
        <f t="shared" si="19"/>
        <v>150789.106</v>
      </c>
      <c r="O33" s="23">
        <f>O35+O36+O37</f>
        <v>-4619.2309999999998</v>
      </c>
      <c r="P33" s="23">
        <f t="shared" si="20"/>
        <v>146169.875</v>
      </c>
      <c r="Q33" s="23">
        <f>Q35+Q36+Q37</f>
        <v>0</v>
      </c>
      <c r="R33" s="23">
        <f t="shared" si="21"/>
        <v>146169.875</v>
      </c>
      <c r="S33" s="23">
        <f>S35+S36+S37</f>
        <v>0</v>
      </c>
      <c r="T33" s="23">
        <f t="shared" si="22"/>
        <v>146169.875</v>
      </c>
      <c r="U33" s="23">
        <f>U35+U36+U37</f>
        <v>0</v>
      </c>
      <c r="V33" s="23">
        <f t="shared" si="23"/>
        <v>146169.875</v>
      </c>
      <c r="W33" s="23">
        <f>W35+W36+W37</f>
        <v>0</v>
      </c>
      <c r="X33" s="24">
        <f t="shared" si="24"/>
        <v>146169.875</v>
      </c>
      <c r="Y33" s="24">
        <f>Y35+Y36+Y37</f>
        <v>0</v>
      </c>
      <c r="Z33" s="70">
        <f t="shared" si="25"/>
        <v>146169.875</v>
      </c>
    </row>
    <row r="34" spans="1:28" x14ac:dyDescent="0.3">
      <c r="A34" s="64"/>
      <c r="B34" s="65" t="s">
        <v>2</v>
      </c>
      <c r="C34" s="7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70"/>
    </row>
    <row r="35" spans="1:28" s="2" customFormat="1" ht="19.8" hidden="1" customHeight="1" x14ac:dyDescent="0.3">
      <c r="A35" s="1"/>
      <c r="B35" s="4" t="s">
        <v>3</v>
      </c>
      <c r="C35" s="4"/>
      <c r="D35" s="23">
        <v>40266.699999999997</v>
      </c>
      <c r="E35" s="23">
        <v>-6258.5</v>
      </c>
      <c r="F35" s="23">
        <f t="shared" si="0"/>
        <v>34008.199999999997</v>
      </c>
      <c r="G35" s="23"/>
      <c r="H35" s="23">
        <f t="shared" ref="H35:H45" si="26">F35+G35</f>
        <v>34008.199999999997</v>
      </c>
      <c r="I35" s="23"/>
      <c r="J35" s="23">
        <f t="shared" ref="J35:J45" si="27">H35+I35</f>
        <v>34008.199999999997</v>
      </c>
      <c r="K35" s="23">
        <f>15742.085+85.946-23500.281</f>
        <v>-7672.25</v>
      </c>
      <c r="L35" s="23">
        <f t="shared" ref="L35:L45" si="28">J35+K35</f>
        <v>26335.949999999997</v>
      </c>
      <c r="M35" s="23"/>
      <c r="N35" s="23">
        <f t="shared" ref="N35:N39" si="29">L35+M35</f>
        <v>26335.949999999997</v>
      </c>
      <c r="O35" s="23">
        <v>-4619.2309999999998</v>
      </c>
      <c r="P35" s="23">
        <f t="shared" ref="P35:P39" si="30">N35+O35</f>
        <v>21716.718999999997</v>
      </c>
      <c r="Q35" s="23"/>
      <c r="R35" s="23">
        <f t="shared" ref="R35:R39" si="31">P35+Q35</f>
        <v>21716.718999999997</v>
      </c>
      <c r="S35" s="23">
        <f>6258.533-6258.533</f>
        <v>0</v>
      </c>
      <c r="T35" s="23">
        <f t="shared" ref="T35:T39" si="32">R35+S35</f>
        <v>21716.718999999997</v>
      </c>
      <c r="U35" s="23"/>
      <c r="V35" s="23">
        <f t="shared" ref="V35:V39" si="33">T35+U35</f>
        <v>21716.718999999997</v>
      </c>
      <c r="W35" s="23"/>
      <c r="X35" s="23">
        <f t="shared" ref="X35:X39" si="34">V35+W35</f>
        <v>21716.718999999997</v>
      </c>
      <c r="Y35" s="24">
        <f>-961.849+961.849</f>
        <v>0</v>
      </c>
      <c r="Z35" s="23">
        <f t="shared" ref="Z35:Z39" si="35">X35+Y35</f>
        <v>21716.718999999997</v>
      </c>
      <c r="AA35" s="16" t="s">
        <v>250</v>
      </c>
      <c r="AB35" s="6">
        <v>0</v>
      </c>
    </row>
    <row r="36" spans="1:28" x14ac:dyDescent="0.3">
      <c r="A36" s="64"/>
      <c r="B36" s="73" t="s">
        <v>16</v>
      </c>
      <c r="C36" s="73"/>
      <c r="D36" s="23">
        <v>127684.3</v>
      </c>
      <c r="E36" s="23"/>
      <c r="F36" s="23">
        <f t="shared" si="0"/>
        <v>127684.3</v>
      </c>
      <c r="G36" s="23">
        <f>-18676+18676</f>
        <v>0</v>
      </c>
      <c r="H36" s="23">
        <f t="shared" si="26"/>
        <v>127684.3</v>
      </c>
      <c r="I36" s="23"/>
      <c r="J36" s="23">
        <f t="shared" si="27"/>
        <v>127684.3</v>
      </c>
      <c r="K36" s="23">
        <f>-18676.2-70500.844+4297.3</f>
        <v>-84879.743999999992</v>
      </c>
      <c r="L36" s="23">
        <f t="shared" si="28"/>
        <v>42804.556000000011</v>
      </c>
      <c r="M36" s="23"/>
      <c r="N36" s="23">
        <f t="shared" si="29"/>
        <v>42804.556000000011</v>
      </c>
      <c r="O36" s="23"/>
      <c r="P36" s="23">
        <f t="shared" si="30"/>
        <v>42804.556000000011</v>
      </c>
      <c r="Q36" s="23"/>
      <c r="R36" s="23">
        <f t="shared" si="31"/>
        <v>42804.556000000011</v>
      </c>
      <c r="S36" s="23"/>
      <c r="T36" s="23">
        <f t="shared" si="32"/>
        <v>42804.556000000011</v>
      </c>
      <c r="U36" s="23"/>
      <c r="V36" s="23">
        <f t="shared" si="33"/>
        <v>42804.556000000011</v>
      </c>
      <c r="W36" s="23"/>
      <c r="X36" s="23">
        <f t="shared" si="34"/>
        <v>42804.556000000011</v>
      </c>
      <c r="Y36" s="24"/>
      <c r="Z36" s="70">
        <f t="shared" si="35"/>
        <v>42804.556000000011</v>
      </c>
      <c r="AA36" s="16" t="s">
        <v>202</v>
      </c>
    </row>
    <row r="37" spans="1:28" x14ac:dyDescent="0.3">
      <c r="A37" s="64"/>
      <c r="B37" s="67" t="s">
        <v>20</v>
      </c>
      <c r="C37" s="73"/>
      <c r="D37" s="23">
        <v>50494.8</v>
      </c>
      <c r="E37" s="23"/>
      <c r="F37" s="23">
        <f t="shared" si="0"/>
        <v>50494.8</v>
      </c>
      <c r="G37" s="23">
        <f>-50495+50495</f>
        <v>0</v>
      </c>
      <c r="H37" s="23">
        <f t="shared" si="26"/>
        <v>50494.8</v>
      </c>
      <c r="I37" s="23"/>
      <c r="J37" s="23">
        <f t="shared" si="27"/>
        <v>50494.8</v>
      </c>
      <c r="K37" s="23">
        <f>-50494.8+81648.6</f>
        <v>31153.800000000003</v>
      </c>
      <c r="L37" s="23">
        <f t="shared" si="28"/>
        <v>81648.600000000006</v>
      </c>
      <c r="M37" s="23"/>
      <c r="N37" s="23">
        <f t="shared" si="29"/>
        <v>81648.600000000006</v>
      </c>
      <c r="O37" s="23"/>
      <c r="P37" s="23">
        <f t="shared" si="30"/>
        <v>81648.600000000006</v>
      </c>
      <c r="Q37" s="23"/>
      <c r="R37" s="23">
        <f t="shared" si="31"/>
        <v>81648.600000000006</v>
      </c>
      <c r="S37" s="23"/>
      <c r="T37" s="23">
        <f t="shared" si="32"/>
        <v>81648.600000000006</v>
      </c>
      <c r="U37" s="23"/>
      <c r="V37" s="23">
        <f t="shared" si="33"/>
        <v>81648.600000000006</v>
      </c>
      <c r="W37" s="23"/>
      <c r="X37" s="23">
        <f t="shared" si="34"/>
        <v>81648.600000000006</v>
      </c>
      <c r="Y37" s="24"/>
      <c r="Z37" s="70">
        <f t="shared" si="35"/>
        <v>81648.600000000006</v>
      </c>
      <c r="AA37" s="16" t="s">
        <v>201</v>
      </c>
    </row>
    <row r="38" spans="1:28" ht="62.25" customHeight="1" x14ac:dyDescent="0.3">
      <c r="A38" s="64" t="s">
        <v>108</v>
      </c>
      <c r="B38" s="71" t="s">
        <v>85</v>
      </c>
      <c r="C38" s="73" t="s">
        <v>11</v>
      </c>
      <c r="D38" s="23">
        <v>16047.4</v>
      </c>
      <c r="E38" s="23"/>
      <c r="F38" s="23">
        <f t="shared" si="0"/>
        <v>16047.4</v>
      </c>
      <c r="G38" s="23"/>
      <c r="H38" s="23">
        <f t="shared" si="26"/>
        <v>16047.4</v>
      </c>
      <c r="I38" s="23"/>
      <c r="J38" s="23">
        <f t="shared" si="27"/>
        <v>16047.4</v>
      </c>
      <c r="K38" s="23"/>
      <c r="L38" s="23">
        <f t="shared" si="28"/>
        <v>16047.4</v>
      </c>
      <c r="M38" s="23"/>
      <c r="N38" s="23">
        <f t="shared" si="29"/>
        <v>16047.4</v>
      </c>
      <c r="O38" s="23"/>
      <c r="P38" s="23">
        <f t="shared" si="30"/>
        <v>16047.4</v>
      </c>
      <c r="Q38" s="23"/>
      <c r="R38" s="23">
        <f t="shared" si="31"/>
        <v>16047.4</v>
      </c>
      <c r="S38" s="23"/>
      <c r="T38" s="23">
        <f t="shared" si="32"/>
        <v>16047.4</v>
      </c>
      <c r="U38" s="23"/>
      <c r="V38" s="23">
        <f t="shared" si="33"/>
        <v>16047.4</v>
      </c>
      <c r="W38" s="23"/>
      <c r="X38" s="23">
        <f t="shared" si="34"/>
        <v>16047.4</v>
      </c>
      <c r="Y38" s="24"/>
      <c r="Z38" s="70">
        <f t="shared" si="35"/>
        <v>16047.4</v>
      </c>
      <c r="AA38" s="16" t="s">
        <v>94</v>
      </c>
    </row>
    <row r="39" spans="1:28" ht="64.5" customHeight="1" x14ac:dyDescent="0.3">
      <c r="A39" s="64" t="s">
        <v>105</v>
      </c>
      <c r="B39" s="71" t="s">
        <v>247</v>
      </c>
      <c r="C39" s="73" t="s">
        <v>11</v>
      </c>
      <c r="D39" s="23">
        <v>7183.8</v>
      </c>
      <c r="E39" s="23"/>
      <c r="F39" s="23">
        <f t="shared" si="0"/>
        <v>7183.8</v>
      </c>
      <c r="G39" s="23"/>
      <c r="H39" s="23">
        <f t="shared" si="26"/>
        <v>7183.8</v>
      </c>
      <c r="I39" s="23"/>
      <c r="J39" s="23">
        <f t="shared" si="27"/>
        <v>7183.8</v>
      </c>
      <c r="K39" s="23">
        <f>K41+K42+K43</f>
        <v>12816.2</v>
      </c>
      <c r="L39" s="23">
        <f t="shared" si="28"/>
        <v>20000</v>
      </c>
      <c r="M39" s="23">
        <f>M41+M42+M43</f>
        <v>0</v>
      </c>
      <c r="N39" s="23">
        <f t="shared" si="29"/>
        <v>20000</v>
      </c>
      <c r="O39" s="23">
        <f>O41+O42+O43</f>
        <v>0</v>
      </c>
      <c r="P39" s="23">
        <f t="shared" si="30"/>
        <v>20000</v>
      </c>
      <c r="Q39" s="23">
        <f>Q41+Q42+Q43</f>
        <v>0</v>
      </c>
      <c r="R39" s="23">
        <f t="shared" si="31"/>
        <v>20000</v>
      </c>
      <c r="S39" s="23">
        <f>S41+S42+S43</f>
        <v>0</v>
      </c>
      <c r="T39" s="23">
        <f t="shared" si="32"/>
        <v>20000</v>
      </c>
      <c r="U39" s="23">
        <f>U41+U42+U43</f>
        <v>0</v>
      </c>
      <c r="V39" s="23">
        <f t="shared" si="33"/>
        <v>20000</v>
      </c>
      <c r="W39" s="23">
        <f>W41+W42+W43</f>
        <v>0</v>
      </c>
      <c r="X39" s="23">
        <f t="shared" si="34"/>
        <v>20000</v>
      </c>
      <c r="Y39" s="24">
        <f>Y41+Y42+Y43</f>
        <v>0</v>
      </c>
      <c r="Z39" s="70">
        <f t="shared" si="35"/>
        <v>20000</v>
      </c>
    </row>
    <row r="40" spans="1:28" x14ac:dyDescent="0.3">
      <c r="A40" s="64"/>
      <c r="B40" s="65" t="s">
        <v>2</v>
      </c>
      <c r="C40" s="7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  <c r="Z40" s="70"/>
    </row>
    <row r="41" spans="1:28" s="2" customFormat="1" hidden="1" x14ac:dyDescent="0.3">
      <c r="A41" s="1"/>
      <c r="B41" s="4" t="s">
        <v>3</v>
      </c>
      <c r="C41" s="4"/>
      <c r="D41" s="23">
        <v>7183.8</v>
      </c>
      <c r="E41" s="23"/>
      <c r="F41" s="23">
        <f t="shared" si="0"/>
        <v>7183.8</v>
      </c>
      <c r="G41" s="23"/>
      <c r="H41" s="23">
        <f t="shared" si="26"/>
        <v>7183.8</v>
      </c>
      <c r="I41" s="23"/>
      <c r="J41" s="23">
        <f t="shared" si="27"/>
        <v>7183.8</v>
      </c>
      <c r="K41" s="23">
        <v>-7183.8</v>
      </c>
      <c r="L41" s="23">
        <f t="shared" si="28"/>
        <v>0</v>
      </c>
      <c r="M41" s="23"/>
      <c r="N41" s="23">
        <f t="shared" ref="N41:N45" si="36">L41+M41</f>
        <v>0</v>
      </c>
      <c r="O41" s="23"/>
      <c r="P41" s="23">
        <f t="shared" ref="P41:P45" si="37">N41+O41</f>
        <v>0</v>
      </c>
      <c r="Q41" s="23"/>
      <c r="R41" s="23">
        <f t="shared" ref="R41:R45" si="38">P41+Q41</f>
        <v>0</v>
      </c>
      <c r="S41" s="23"/>
      <c r="T41" s="23">
        <f t="shared" ref="T41:T45" si="39">R41+S41</f>
        <v>0</v>
      </c>
      <c r="U41" s="23"/>
      <c r="V41" s="23">
        <f t="shared" ref="V41:V45" si="40">T41+U41</f>
        <v>0</v>
      </c>
      <c r="W41" s="23"/>
      <c r="X41" s="23">
        <f t="shared" ref="X41:X45" si="41">V41+W41</f>
        <v>0</v>
      </c>
      <c r="Y41" s="24"/>
      <c r="Z41" s="23">
        <f t="shared" ref="Z41:Z45" si="42">X41+Y41</f>
        <v>0</v>
      </c>
      <c r="AA41" s="16" t="s">
        <v>283</v>
      </c>
      <c r="AB41" s="6">
        <v>0</v>
      </c>
    </row>
    <row r="42" spans="1:28" x14ac:dyDescent="0.3">
      <c r="A42" s="64"/>
      <c r="B42" s="73" t="s">
        <v>16</v>
      </c>
      <c r="C42" s="73"/>
      <c r="D42" s="23"/>
      <c r="E42" s="23"/>
      <c r="F42" s="23"/>
      <c r="G42" s="23"/>
      <c r="H42" s="23"/>
      <c r="I42" s="23"/>
      <c r="J42" s="23"/>
      <c r="K42" s="23">
        <v>5400</v>
      </c>
      <c r="L42" s="23">
        <f t="shared" si="28"/>
        <v>5400</v>
      </c>
      <c r="M42" s="23"/>
      <c r="N42" s="23">
        <f t="shared" si="36"/>
        <v>5400</v>
      </c>
      <c r="O42" s="23"/>
      <c r="P42" s="23">
        <f t="shared" si="37"/>
        <v>5400</v>
      </c>
      <c r="Q42" s="23"/>
      <c r="R42" s="23">
        <f t="shared" si="38"/>
        <v>5400</v>
      </c>
      <c r="S42" s="23"/>
      <c r="T42" s="23">
        <f t="shared" si="39"/>
        <v>5400</v>
      </c>
      <c r="U42" s="23"/>
      <c r="V42" s="23">
        <f t="shared" si="40"/>
        <v>5400</v>
      </c>
      <c r="W42" s="23"/>
      <c r="X42" s="23">
        <f t="shared" si="41"/>
        <v>5400</v>
      </c>
      <c r="Y42" s="24"/>
      <c r="Z42" s="70">
        <f t="shared" si="42"/>
        <v>5400</v>
      </c>
      <c r="AA42" s="16" t="s">
        <v>283</v>
      </c>
    </row>
    <row r="43" spans="1:28" x14ac:dyDescent="0.3">
      <c r="A43" s="64"/>
      <c r="B43" s="67" t="s">
        <v>20</v>
      </c>
      <c r="C43" s="73"/>
      <c r="D43" s="23"/>
      <c r="E43" s="23"/>
      <c r="F43" s="23"/>
      <c r="G43" s="23"/>
      <c r="H43" s="23"/>
      <c r="I43" s="23"/>
      <c r="J43" s="23"/>
      <c r="K43" s="23">
        <v>14600</v>
      </c>
      <c r="L43" s="23">
        <f t="shared" si="28"/>
        <v>14600</v>
      </c>
      <c r="M43" s="23"/>
      <c r="N43" s="23">
        <f t="shared" si="36"/>
        <v>14600</v>
      </c>
      <c r="O43" s="23"/>
      <c r="P43" s="23">
        <f t="shared" si="37"/>
        <v>14600</v>
      </c>
      <c r="Q43" s="23"/>
      <c r="R43" s="23">
        <f t="shared" si="38"/>
        <v>14600</v>
      </c>
      <c r="S43" s="23"/>
      <c r="T43" s="23">
        <f t="shared" si="39"/>
        <v>14600</v>
      </c>
      <c r="U43" s="23"/>
      <c r="V43" s="23">
        <f t="shared" si="40"/>
        <v>14600</v>
      </c>
      <c r="W43" s="23"/>
      <c r="X43" s="23">
        <f t="shared" si="41"/>
        <v>14600</v>
      </c>
      <c r="Y43" s="24"/>
      <c r="Z43" s="70">
        <f t="shared" si="42"/>
        <v>14600</v>
      </c>
      <c r="AA43" s="16" t="s">
        <v>283</v>
      </c>
    </row>
    <row r="44" spans="1:28" ht="36" x14ac:dyDescent="0.3">
      <c r="A44" s="110" t="s">
        <v>103</v>
      </c>
      <c r="B44" s="130" t="s">
        <v>169</v>
      </c>
      <c r="C44" s="73" t="s">
        <v>11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>
        <v>13783.942999999999</v>
      </c>
      <c r="P44" s="23">
        <f t="shared" si="37"/>
        <v>13783.942999999999</v>
      </c>
      <c r="Q44" s="23"/>
      <c r="R44" s="23">
        <f t="shared" si="38"/>
        <v>13783.942999999999</v>
      </c>
      <c r="S44" s="23"/>
      <c r="T44" s="23">
        <f t="shared" si="39"/>
        <v>13783.942999999999</v>
      </c>
      <c r="U44" s="23"/>
      <c r="V44" s="23">
        <f t="shared" si="40"/>
        <v>13783.942999999999</v>
      </c>
      <c r="W44" s="23"/>
      <c r="X44" s="23">
        <f t="shared" si="41"/>
        <v>13783.942999999999</v>
      </c>
      <c r="Y44" s="24"/>
      <c r="Z44" s="70">
        <f t="shared" si="42"/>
        <v>13783.942999999999</v>
      </c>
      <c r="AA44" s="16" t="s">
        <v>266</v>
      </c>
    </row>
    <row r="45" spans="1:28" ht="59.25" customHeight="1" x14ac:dyDescent="0.3">
      <c r="A45" s="111"/>
      <c r="B45" s="131"/>
      <c r="C45" s="72" t="s">
        <v>45</v>
      </c>
      <c r="D45" s="23">
        <f>D47+D48</f>
        <v>54466.3</v>
      </c>
      <c r="E45" s="23">
        <f>E47+E48</f>
        <v>0</v>
      </c>
      <c r="F45" s="23">
        <f t="shared" si="0"/>
        <v>54466.3</v>
      </c>
      <c r="G45" s="23">
        <f>G47+G48</f>
        <v>76.576999999999998</v>
      </c>
      <c r="H45" s="23">
        <f t="shared" si="26"/>
        <v>54542.877</v>
      </c>
      <c r="I45" s="23">
        <f>I47+I48</f>
        <v>0</v>
      </c>
      <c r="J45" s="23">
        <f t="shared" si="27"/>
        <v>54542.877</v>
      </c>
      <c r="K45" s="23">
        <f>K47+K48</f>
        <v>922.12800000000004</v>
      </c>
      <c r="L45" s="23">
        <f t="shared" si="28"/>
        <v>55465.004999999997</v>
      </c>
      <c r="M45" s="23">
        <f>M47+M48</f>
        <v>0</v>
      </c>
      <c r="N45" s="23">
        <f t="shared" si="36"/>
        <v>55465.004999999997</v>
      </c>
      <c r="O45" s="23">
        <f>O47+O48</f>
        <v>0</v>
      </c>
      <c r="P45" s="23">
        <f t="shared" si="37"/>
        <v>55465.004999999997</v>
      </c>
      <c r="Q45" s="23">
        <f>Q47+Q48</f>
        <v>0</v>
      </c>
      <c r="R45" s="23">
        <f t="shared" si="38"/>
        <v>55465.004999999997</v>
      </c>
      <c r="S45" s="23">
        <f>S47+S48</f>
        <v>0</v>
      </c>
      <c r="T45" s="23">
        <f t="shared" si="39"/>
        <v>55465.004999999997</v>
      </c>
      <c r="U45" s="23">
        <f>U47+U48</f>
        <v>0</v>
      </c>
      <c r="V45" s="23">
        <f t="shared" si="40"/>
        <v>55465.004999999997</v>
      </c>
      <c r="W45" s="23">
        <f>W47+W48</f>
        <v>0</v>
      </c>
      <c r="X45" s="23">
        <f t="shared" si="41"/>
        <v>55465.004999999997</v>
      </c>
      <c r="Y45" s="24">
        <f>Y47+Y48</f>
        <v>0</v>
      </c>
      <c r="Z45" s="70">
        <f t="shared" si="42"/>
        <v>55465.004999999997</v>
      </c>
    </row>
    <row r="46" spans="1:28" x14ac:dyDescent="0.3">
      <c r="A46" s="64"/>
      <c r="B46" s="65" t="s">
        <v>2</v>
      </c>
      <c r="C46" s="7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4"/>
      <c r="Z46" s="70"/>
    </row>
    <row r="47" spans="1:28" s="2" customFormat="1" hidden="1" x14ac:dyDescent="0.3">
      <c r="A47" s="1"/>
      <c r="B47" s="4" t="s">
        <v>3</v>
      </c>
      <c r="C47" s="4"/>
      <c r="D47" s="23"/>
      <c r="E47" s="23">
        <v>13605.1</v>
      </c>
      <c r="F47" s="23">
        <f t="shared" si="0"/>
        <v>13605.1</v>
      </c>
      <c r="G47" s="23">
        <v>76.576999999999998</v>
      </c>
      <c r="H47" s="23">
        <f t="shared" ref="H47:H50" si="43">F47+G47</f>
        <v>13681.677</v>
      </c>
      <c r="I47" s="23"/>
      <c r="J47" s="23">
        <f t="shared" ref="J47:J50" si="44">H47+I47</f>
        <v>13681.677</v>
      </c>
      <c r="K47" s="23">
        <v>922.12800000000004</v>
      </c>
      <c r="L47" s="23">
        <f t="shared" ref="L47:L50" si="45">J47+K47</f>
        <v>14603.805</v>
      </c>
      <c r="M47" s="23"/>
      <c r="N47" s="23">
        <f t="shared" ref="N47:N50" si="46">L47+M47</f>
        <v>14603.805</v>
      </c>
      <c r="O47" s="23"/>
      <c r="P47" s="23">
        <f t="shared" ref="P47:P50" si="47">N47+O47</f>
        <v>14603.805</v>
      </c>
      <c r="Q47" s="23"/>
      <c r="R47" s="23">
        <f t="shared" ref="R47:R50" si="48">P47+Q47</f>
        <v>14603.805</v>
      </c>
      <c r="S47" s="23"/>
      <c r="T47" s="23">
        <f t="shared" ref="T47:T50" si="49">R47+S47</f>
        <v>14603.805</v>
      </c>
      <c r="U47" s="23"/>
      <c r="V47" s="23">
        <f t="shared" ref="V47:V50" si="50">T47+U47</f>
        <v>14603.805</v>
      </c>
      <c r="W47" s="23"/>
      <c r="X47" s="23">
        <f t="shared" ref="X47:X50" si="51">V47+W47</f>
        <v>14603.805</v>
      </c>
      <c r="Y47" s="24"/>
      <c r="Z47" s="23">
        <f t="shared" ref="Z47:Z50" si="52">X47+Y47</f>
        <v>14603.805</v>
      </c>
      <c r="AA47" s="16" t="s">
        <v>211</v>
      </c>
      <c r="AB47" s="6">
        <v>0</v>
      </c>
    </row>
    <row r="48" spans="1:28" x14ac:dyDescent="0.3">
      <c r="A48" s="64"/>
      <c r="B48" s="73" t="s">
        <v>16</v>
      </c>
      <c r="C48" s="73"/>
      <c r="D48" s="23">
        <v>54466.3</v>
      </c>
      <c r="E48" s="23">
        <v>-13605.1</v>
      </c>
      <c r="F48" s="23">
        <f t="shared" si="0"/>
        <v>40861.200000000004</v>
      </c>
      <c r="G48" s="23"/>
      <c r="H48" s="23">
        <f t="shared" si="43"/>
        <v>40861.200000000004</v>
      </c>
      <c r="I48" s="23"/>
      <c r="J48" s="23">
        <f t="shared" si="44"/>
        <v>40861.200000000004</v>
      </c>
      <c r="K48" s="23"/>
      <c r="L48" s="23">
        <f t="shared" si="45"/>
        <v>40861.200000000004</v>
      </c>
      <c r="M48" s="23"/>
      <c r="N48" s="23">
        <f t="shared" si="46"/>
        <v>40861.200000000004</v>
      </c>
      <c r="O48" s="23"/>
      <c r="P48" s="23">
        <f t="shared" si="47"/>
        <v>40861.200000000004</v>
      </c>
      <c r="Q48" s="23"/>
      <c r="R48" s="23">
        <f t="shared" si="48"/>
        <v>40861.200000000004</v>
      </c>
      <c r="S48" s="23"/>
      <c r="T48" s="23">
        <f t="shared" si="49"/>
        <v>40861.200000000004</v>
      </c>
      <c r="U48" s="23"/>
      <c r="V48" s="23">
        <f t="shared" si="50"/>
        <v>40861.200000000004</v>
      </c>
      <c r="W48" s="23"/>
      <c r="X48" s="23">
        <f t="shared" si="51"/>
        <v>40861.200000000004</v>
      </c>
      <c r="Y48" s="24"/>
      <c r="Z48" s="70">
        <f t="shared" si="52"/>
        <v>40861.200000000004</v>
      </c>
      <c r="AA48" s="16" t="s">
        <v>160</v>
      </c>
    </row>
    <row r="49" spans="1:28" ht="61.5" customHeight="1" x14ac:dyDescent="0.3">
      <c r="A49" s="64" t="s">
        <v>106</v>
      </c>
      <c r="B49" s="71" t="s">
        <v>185</v>
      </c>
      <c r="C49" s="72" t="s">
        <v>45</v>
      </c>
      <c r="D49" s="23">
        <v>128574.9</v>
      </c>
      <c r="E49" s="23"/>
      <c r="F49" s="23">
        <f t="shared" si="0"/>
        <v>128574.9</v>
      </c>
      <c r="G49" s="23">
        <v>-60684.112000000001</v>
      </c>
      <c r="H49" s="23">
        <f t="shared" si="43"/>
        <v>67890.788</v>
      </c>
      <c r="I49" s="23"/>
      <c r="J49" s="23">
        <f t="shared" si="44"/>
        <v>67890.788</v>
      </c>
      <c r="K49" s="23"/>
      <c r="L49" s="23">
        <f t="shared" si="45"/>
        <v>67890.788</v>
      </c>
      <c r="M49" s="23"/>
      <c r="N49" s="23">
        <f t="shared" si="46"/>
        <v>67890.788</v>
      </c>
      <c r="O49" s="23"/>
      <c r="P49" s="23">
        <f t="shared" si="47"/>
        <v>67890.788</v>
      </c>
      <c r="Q49" s="23"/>
      <c r="R49" s="23">
        <f t="shared" si="48"/>
        <v>67890.788</v>
      </c>
      <c r="S49" s="23">
        <v>-34200</v>
      </c>
      <c r="T49" s="23">
        <f t="shared" si="49"/>
        <v>33690.788</v>
      </c>
      <c r="U49" s="23"/>
      <c r="V49" s="23">
        <f t="shared" si="50"/>
        <v>33690.788</v>
      </c>
      <c r="W49" s="23"/>
      <c r="X49" s="23">
        <f t="shared" si="51"/>
        <v>33690.788</v>
      </c>
      <c r="Y49" s="24">
        <v>-15873.486999999999</v>
      </c>
      <c r="Z49" s="70">
        <f t="shared" si="52"/>
        <v>17817.300999999999</v>
      </c>
      <c r="AA49" s="16" t="s">
        <v>95</v>
      </c>
    </row>
    <row r="50" spans="1:28" ht="63" customHeight="1" x14ac:dyDescent="0.3">
      <c r="A50" s="64" t="s">
        <v>109</v>
      </c>
      <c r="B50" s="71" t="s">
        <v>86</v>
      </c>
      <c r="C50" s="72" t="s">
        <v>45</v>
      </c>
      <c r="D50" s="23">
        <f>D52+D53</f>
        <v>202475.1</v>
      </c>
      <c r="E50" s="23">
        <f>E52+E53</f>
        <v>28414.63499999998</v>
      </c>
      <c r="F50" s="23">
        <f t="shared" si="0"/>
        <v>230889.73499999999</v>
      </c>
      <c r="G50" s="23">
        <f>G52+G53</f>
        <v>32684.112000000001</v>
      </c>
      <c r="H50" s="23">
        <f t="shared" si="43"/>
        <v>263573.84700000001</v>
      </c>
      <c r="I50" s="23">
        <f>I52+I53</f>
        <v>0</v>
      </c>
      <c r="J50" s="23">
        <f t="shared" si="44"/>
        <v>263573.84700000001</v>
      </c>
      <c r="K50" s="23">
        <f>K52+K53</f>
        <v>-180013.61299999998</v>
      </c>
      <c r="L50" s="23">
        <f t="shared" si="45"/>
        <v>83560.234000000026</v>
      </c>
      <c r="M50" s="23">
        <f>M52+M53</f>
        <v>0</v>
      </c>
      <c r="N50" s="23">
        <f t="shared" si="46"/>
        <v>83560.234000000026</v>
      </c>
      <c r="O50" s="23">
        <f>O52+O53</f>
        <v>0</v>
      </c>
      <c r="P50" s="23">
        <f t="shared" si="47"/>
        <v>83560.234000000026</v>
      </c>
      <c r="Q50" s="23">
        <f>Q52+Q53</f>
        <v>0</v>
      </c>
      <c r="R50" s="23">
        <f t="shared" si="48"/>
        <v>83560.234000000026</v>
      </c>
      <c r="S50" s="23">
        <f>S52+S53</f>
        <v>0</v>
      </c>
      <c r="T50" s="23">
        <f t="shared" si="49"/>
        <v>83560.234000000026</v>
      </c>
      <c r="U50" s="23">
        <f>U52+U53</f>
        <v>0</v>
      </c>
      <c r="V50" s="23">
        <f t="shared" si="50"/>
        <v>83560.234000000026</v>
      </c>
      <c r="W50" s="23">
        <f>W52+W53</f>
        <v>1E-3</v>
      </c>
      <c r="X50" s="23">
        <f t="shared" si="51"/>
        <v>83560.23500000003</v>
      </c>
      <c r="Y50" s="24">
        <f>Y52+Y53</f>
        <v>0</v>
      </c>
      <c r="Z50" s="70">
        <f t="shared" si="52"/>
        <v>83560.23500000003</v>
      </c>
    </row>
    <row r="51" spans="1:28" x14ac:dyDescent="0.3">
      <c r="A51" s="64"/>
      <c r="B51" s="65" t="s">
        <v>2</v>
      </c>
      <c r="C51" s="7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4"/>
      <c r="Z51" s="70"/>
    </row>
    <row r="52" spans="1:28" s="2" customFormat="1" hidden="1" x14ac:dyDescent="0.3">
      <c r="A52" s="1"/>
      <c r="B52" s="4" t="s">
        <v>3</v>
      </c>
      <c r="C52" s="4"/>
      <c r="D52" s="23">
        <v>69858.100000000006</v>
      </c>
      <c r="E52" s="23">
        <f>-69858.1+24442.7+3971.935</f>
        <v>-41443.465000000011</v>
      </c>
      <c r="F52" s="23">
        <f t="shared" si="0"/>
        <v>28414.634999999995</v>
      </c>
      <c r="G52" s="23">
        <v>32684.112000000001</v>
      </c>
      <c r="H52" s="23">
        <f t="shared" ref="H52:H54" si="53">F52+G52</f>
        <v>61098.746999999996</v>
      </c>
      <c r="I52" s="23"/>
      <c r="J52" s="23">
        <f t="shared" ref="J52:J54" si="54">H52+I52</f>
        <v>61098.746999999996</v>
      </c>
      <c r="K52" s="23">
        <f>-36656.047-13788.766</f>
        <v>-50444.812999999995</v>
      </c>
      <c r="L52" s="23">
        <f t="shared" ref="L52:L54" si="55">J52+K52</f>
        <v>10653.934000000001</v>
      </c>
      <c r="M52" s="23"/>
      <c r="N52" s="23">
        <f t="shared" ref="N52:N54" si="56">L52+M52</f>
        <v>10653.934000000001</v>
      </c>
      <c r="O52" s="23"/>
      <c r="P52" s="23">
        <f t="shared" ref="P52:P54" si="57">N52+O52</f>
        <v>10653.934000000001</v>
      </c>
      <c r="Q52" s="23"/>
      <c r="R52" s="23">
        <f t="shared" ref="R52:R54" si="58">P52+Q52</f>
        <v>10653.934000000001</v>
      </c>
      <c r="S52" s="23"/>
      <c r="T52" s="23">
        <f t="shared" ref="T52:T54" si="59">R52+S52</f>
        <v>10653.934000000001</v>
      </c>
      <c r="U52" s="23"/>
      <c r="V52" s="23">
        <f t="shared" ref="V52:V54" si="60">T52+U52</f>
        <v>10653.934000000001</v>
      </c>
      <c r="W52" s="23">
        <v>1E-3</v>
      </c>
      <c r="X52" s="23">
        <f t="shared" ref="X52:X54" si="61">V52+W52</f>
        <v>10653.935000000001</v>
      </c>
      <c r="Y52" s="24"/>
      <c r="Z52" s="23">
        <f t="shared" ref="Z52:Z54" si="62">X52+Y52</f>
        <v>10653.935000000001</v>
      </c>
      <c r="AA52" s="16" t="s">
        <v>177</v>
      </c>
      <c r="AB52" s="6">
        <v>0</v>
      </c>
    </row>
    <row r="53" spans="1:28" x14ac:dyDescent="0.3">
      <c r="A53" s="64"/>
      <c r="B53" s="73" t="s">
        <v>16</v>
      </c>
      <c r="C53" s="73"/>
      <c r="D53" s="23">
        <v>132617</v>
      </c>
      <c r="E53" s="23">
        <f>73327.9-3469.8</f>
        <v>69858.099999999991</v>
      </c>
      <c r="F53" s="23">
        <f t="shared" si="0"/>
        <v>202475.09999999998</v>
      </c>
      <c r="G53" s="23"/>
      <c r="H53" s="23">
        <f t="shared" si="53"/>
        <v>202475.09999999998</v>
      </c>
      <c r="I53" s="23"/>
      <c r="J53" s="23">
        <f t="shared" si="54"/>
        <v>202475.09999999998</v>
      </c>
      <c r="K53" s="23">
        <f>-41366.1-88202.7</f>
        <v>-129568.79999999999</v>
      </c>
      <c r="L53" s="23">
        <f t="shared" si="55"/>
        <v>72906.299999999988</v>
      </c>
      <c r="M53" s="23"/>
      <c r="N53" s="23">
        <f t="shared" si="56"/>
        <v>72906.299999999988</v>
      </c>
      <c r="O53" s="23"/>
      <c r="P53" s="23">
        <f t="shared" si="57"/>
        <v>72906.299999999988</v>
      </c>
      <c r="Q53" s="23"/>
      <c r="R53" s="23">
        <f t="shared" si="58"/>
        <v>72906.299999999988</v>
      </c>
      <c r="S53" s="23"/>
      <c r="T53" s="23">
        <f t="shared" si="59"/>
        <v>72906.299999999988</v>
      </c>
      <c r="U53" s="23"/>
      <c r="V53" s="23">
        <f t="shared" si="60"/>
        <v>72906.299999999988</v>
      </c>
      <c r="W53" s="23"/>
      <c r="X53" s="23">
        <f t="shared" si="61"/>
        <v>72906.299999999988</v>
      </c>
      <c r="Y53" s="24"/>
      <c r="Z53" s="70">
        <f t="shared" si="62"/>
        <v>72906.299999999988</v>
      </c>
      <c r="AA53" s="16" t="s">
        <v>178</v>
      </c>
    </row>
    <row r="54" spans="1:28" s="2" customFormat="1" ht="42" hidden="1" customHeight="1" x14ac:dyDescent="0.3">
      <c r="A54" s="1" t="s">
        <v>110</v>
      </c>
      <c r="B54" s="9" t="s">
        <v>86</v>
      </c>
      <c r="C54" s="4" t="s">
        <v>11</v>
      </c>
      <c r="D54" s="23">
        <f>D56+D57</f>
        <v>20807.899999999998</v>
      </c>
      <c r="E54" s="23">
        <f>E56+E57</f>
        <v>0</v>
      </c>
      <c r="F54" s="23">
        <f t="shared" si="0"/>
        <v>20807.899999999998</v>
      </c>
      <c r="G54" s="23">
        <f>G56+G57</f>
        <v>0</v>
      </c>
      <c r="H54" s="23">
        <f t="shared" si="53"/>
        <v>20807.899999999998</v>
      </c>
      <c r="I54" s="23">
        <f>I56+I57</f>
        <v>0</v>
      </c>
      <c r="J54" s="23">
        <f t="shared" si="54"/>
        <v>20807.899999999998</v>
      </c>
      <c r="K54" s="23">
        <f>K56+K57</f>
        <v>-20807.900000000001</v>
      </c>
      <c r="L54" s="23">
        <f t="shared" si="55"/>
        <v>0</v>
      </c>
      <c r="M54" s="23">
        <f>M56+M57</f>
        <v>0</v>
      </c>
      <c r="N54" s="23">
        <f t="shared" si="56"/>
        <v>0</v>
      </c>
      <c r="O54" s="23">
        <f>O56+O57</f>
        <v>0</v>
      </c>
      <c r="P54" s="23">
        <f t="shared" si="57"/>
        <v>0</v>
      </c>
      <c r="Q54" s="23">
        <f>Q56+Q57</f>
        <v>0</v>
      </c>
      <c r="R54" s="23">
        <f t="shared" si="58"/>
        <v>0</v>
      </c>
      <c r="S54" s="23">
        <f>S56+S57</f>
        <v>0</v>
      </c>
      <c r="T54" s="23">
        <f t="shared" si="59"/>
        <v>0</v>
      </c>
      <c r="U54" s="23">
        <f>U56+U57</f>
        <v>0</v>
      </c>
      <c r="V54" s="23">
        <f t="shared" si="60"/>
        <v>0</v>
      </c>
      <c r="W54" s="23">
        <f>W56+W57</f>
        <v>0</v>
      </c>
      <c r="X54" s="23">
        <f t="shared" si="61"/>
        <v>0</v>
      </c>
      <c r="Y54" s="24">
        <f>Y56+Y57</f>
        <v>0</v>
      </c>
      <c r="Z54" s="23">
        <f t="shared" si="62"/>
        <v>0</v>
      </c>
      <c r="AA54" s="16"/>
      <c r="AB54" s="6">
        <v>0</v>
      </c>
    </row>
    <row r="55" spans="1:28" s="2" customFormat="1" hidden="1" x14ac:dyDescent="0.3">
      <c r="A55" s="1"/>
      <c r="B55" s="7" t="s">
        <v>2</v>
      </c>
      <c r="C55" s="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4"/>
      <c r="Z55" s="23"/>
      <c r="AA55" s="16"/>
      <c r="AB55" s="6">
        <v>0</v>
      </c>
    </row>
    <row r="56" spans="1:28" s="2" customFormat="1" hidden="1" x14ac:dyDescent="0.3">
      <c r="A56" s="1"/>
      <c r="B56" s="4" t="s">
        <v>3</v>
      </c>
      <c r="C56" s="4"/>
      <c r="D56" s="23">
        <v>16943.099999999999</v>
      </c>
      <c r="E56" s="23">
        <v>-3469.8</v>
      </c>
      <c r="F56" s="23">
        <f t="shared" si="0"/>
        <v>13473.3</v>
      </c>
      <c r="G56" s="23"/>
      <c r="H56" s="23">
        <f t="shared" ref="H56:H58" si="63">F56+G56</f>
        <v>13473.3</v>
      </c>
      <c r="I56" s="23"/>
      <c r="J56" s="23">
        <f t="shared" ref="J56:J58" si="64">H56+I56</f>
        <v>13473.3</v>
      </c>
      <c r="K56" s="23">
        <v>-13473.3</v>
      </c>
      <c r="L56" s="23">
        <f t="shared" ref="L56:L58" si="65">J56+K56</f>
        <v>0</v>
      </c>
      <c r="M56" s="23"/>
      <c r="N56" s="23">
        <f t="shared" ref="N56:N58" si="66">L56+M56</f>
        <v>0</v>
      </c>
      <c r="O56" s="23"/>
      <c r="P56" s="23">
        <f t="shared" ref="P56:P58" si="67">N56+O56</f>
        <v>0</v>
      </c>
      <c r="Q56" s="23"/>
      <c r="R56" s="23">
        <f t="shared" ref="R56:R58" si="68">P56+Q56</f>
        <v>0</v>
      </c>
      <c r="S56" s="23"/>
      <c r="T56" s="23">
        <f t="shared" ref="T56:T58" si="69">R56+S56</f>
        <v>0</v>
      </c>
      <c r="U56" s="23"/>
      <c r="V56" s="23">
        <f t="shared" ref="V56:V58" si="70">T56+U56</f>
        <v>0</v>
      </c>
      <c r="W56" s="23"/>
      <c r="X56" s="23">
        <f t="shared" ref="X56:X58" si="71">V56+W56</f>
        <v>0</v>
      </c>
      <c r="Y56" s="24"/>
      <c r="Z56" s="23">
        <f t="shared" ref="Z56:Z58" si="72">X56+Y56</f>
        <v>0</v>
      </c>
      <c r="AA56" s="16" t="s">
        <v>179</v>
      </c>
      <c r="AB56" s="6">
        <v>0</v>
      </c>
    </row>
    <row r="57" spans="1:28" s="2" customFormat="1" hidden="1" x14ac:dyDescent="0.3">
      <c r="A57" s="1"/>
      <c r="B57" s="4" t="s">
        <v>16</v>
      </c>
      <c r="C57" s="4"/>
      <c r="D57" s="23">
        <v>3864.8</v>
      </c>
      <c r="E57" s="23">
        <f>3469.8</f>
        <v>3469.8</v>
      </c>
      <c r="F57" s="23">
        <f t="shared" si="0"/>
        <v>7334.6</v>
      </c>
      <c r="G57" s="23"/>
      <c r="H57" s="23">
        <f t="shared" si="63"/>
        <v>7334.6</v>
      </c>
      <c r="I57" s="23"/>
      <c r="J57" s="23">
        <f t="shared" si="64"/>
        <v>7334.6</v>
      </c>
      <c r="K57" s="23">
        <v>-7334.6</v>
      </c>
      <c r="L57" s="23">
        <f t="shared" si="65"/>
        <v>0</v>
      </c>
      <c r="M57" s="23"/>
      <c r="N57" s="23">
        <f t="shared" si="66"/>
        <v>0</v>
      </c>
      <c r="O57" s="23"/>
      <c r="P57" s="23">
        <f t="shared" si="67"/>
        <v>0</v>
      </c>
      <c r="Q57" s="23"/>
      <c r="R57" s="23">
        <f t="shared" si="68"/>
        <v>0</v>
      </c>
      <c r="S57" s="23"/>
      <c r="T57" s="23">
        <f t="shared" si="69"/>
        <v>0</v>
      </c>
      <c r="U57" s="23"/>
      <c r="V57" s="23">
        <f t="shared" si="70"/>
        <v>0</v>
      </c>
      <c r="W57" s="23"/>
      <c r="X57" s="23">
        <f t="shared" si="71"/>
        <v>0</v>
      </c>
      <c r="Y57" s="24"/>
      <c r="Z57" s="23">
        <f t="shared" si="72"/>
        <v>0</v>
      </c>
      <c r="AA57" s="16" t="s">
        <v>180</v>
      </c>
      <c r="AB57" s="6">
        <v>0</v>
      </c>
    </row>
    <row r="58" spans="1:28" ht="63.75" customHeight="1" x14ac:dyDescent="0.3">
      <c r="A58" s="64" t="s">
        <v>110</v>
      </c>
      <c r="B58" s="71" t="s">
        <v>87</v>
      </c>
      <c r="C58" s="72" t="s">
        <v>45</v>
      </c>
      <c r="D58" s="23">
        <f>D60+D61</f>
        <v>186468.6</v>
      </c>
      <c r="E58" s="23">
        <f>E60+E61</f>
        <v>0</v>
      </c>
      <c r="F58" s="23">
        <f t="shared" si="0"/>
        <v>186468.6</v>
      </c>
      <c r="G58" s="23">
        <f>G60+G61</f>
        <v>0</v>
      </c>
      <c r="H58" s="23">
        <f t="shared" si="63"/>
        <v>186468.6</v>
      </c>
      <c r="I58" s="23">
        <f>I60+I61</f>
        <v>0</v>
      </c>
      <c r="J58" s="23">
        <f t="shared" si="64"/>
        <v>186468.6</v>
      </c>
      <c r="K58" s="23">
        <f>K60+K61+K62</f>
        <v>-3.3999999985098839E-2</v>
      </c>
      <c r="L58" s="23">
        <f t="shared" si="65"/>
        <v>186468.56600000002</v>
      </c>
      <c r="M58" s="23">
        <f>M60+M61+M62</f>
        <v>0</v>
      </c>
      <c r="N58" s="23">
        <f t="shared" si="66"/>
        <v>186468.56600000002</v>
      </c>
      <c r="O58" s="23">
        <f>O60+O61+O62</f>
        <v>0</v>
      </c>
      <c r="P58" s="23">
        <f t="shared" si="67"/>
        <v>186468.56600000002</v>
      </c>
      <c r="Q58" s="23">
        <f>Q60+Q61+Q62</f>
        <v>0</v>
      </c>
      <c r="R58" s="23">
        <f t="shared" si="68"/>
        <v>186468.56600000002</v>
      </c>
      <c r="S58" s="23">
        <f>S60+S61+S62</f>
        <v>0</v>
      </c>
      <c r="T58" s="23">
        <f t="shared" si="69"/>
        <v>186468.56600000002</v>
      </c>
      <c r="U58" s="23">
        <f>U60+U61+U62</f>
        <v>0</v>
      </c>
      <c r="V58" s="23">
        <f t="shared" si="70"/>
        <v>186468.56600000002</v>
      </c>
      <c r="W58" s="23">
        <f>W60+W61+W62</f>
        <v>-16085.214</v>
      </c>
      <c r="X58" s="23">
        <f t="shared" si="71"/>
        <v>170383.35200000001</v>
      </c>
      <c r="Y58" s="24">
        <f>Y60+Y61+Y62</f>
        <v>0</v>
      </c>
      <c r="Z58" s="70">
        <f t="shared" si="72"/>
        <v>170383.35200000001</v>
      </c>
    </row>
    <row r="59" spans="1:28" x14ac:dyDescent="0.3">
      <c r="A59" s="64"/>
      <c r="B59" s="65" t="s">
        <v>2</v>
      </c>
      <c r="C59" s="7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4"/>
      <c r="Z59" s="70"/>
    </row>
    <row r="60" spans="1:28" s="2" customFormat="1" hidden="1" x14ac:dyDescent="0.3">
      <c r="A60" s="1"/>
      <c r="B60" s="4" t="s">
        <v>3</v>
      </c>
      <c r="C60" s="4"/>
      <c r="D60" s="23">
        <v>126745.8</v>
      </c>
      <c r="E60" s="23">
        <f>-19907.6-72378.8+152009.2</f>
        <v>59722.800000000017</v>
      </c>
      <c r="F60" s="23">
        <f t="shared" si="0"/>
        <v>186468.60000000003</v>
      </c>
      <c r="G60" s="23"/>
      <c r="H60" s="23">
        <f t="shared" ref="H60:H81" si="73">F60+G60</f>
        <v>186468.60000000003</v>
      </c>
      <c r="I60" s="23"/>
      <c r="J60" s="23">
        <f t="shared" ref="J60:J81" si="74">H60+I60</f>
        <v>186468.60000000003</v>
      </c>
      <c r="K60" s="23">
        <f>-34459.4-133695.547+42038.728</f>
        <v>-126116.21899999998</v>
      </c>
      <c r="L60" s="23">
        <f t="shared" ref="L60:L81" si="75">J60+K60</f>
        <v>60352.381000000052</v>
      </c>
      <c r="M60" s="23"/>
      <c r="N60" s="23">
        <f t="shared" ref="N60:N61" si="76">L60+M60</f>
        <v>60352.381000000052</v>
      </c>
      <c r="O60" s="23"/>
      <c r="P60" s="23">
        <f t="shared" ref="P60:P61" si="77">N60+O60</f>
        <v>60352.381000000052</v>
      </c>
      <c r="Q60" s="23"/>
      <c r="R60" s="23">
        <f t="shared" ref="R60:R61" si="78">P60+Q60</f>
        <v>60352.381000000052</v>
      </c>
      <c r="S60" s="23"/>
      <c r="T60" s="23">
        <f t="shared" ref="T60:T61" si="79">R60+S60</f>
        <v>60352.381000000052</v>
      </c>
      <c r="U60" s="23"/>
      <c r="V60" s="23">
        <f t="shared" ref="V60:V61" si="80">T60+U60</f>
        <v>60352.381000000052</v>
      </c>
      <c r="W60" s="23">
        <v>-16085.214</v>
      </c>
      <c r="X60" s="23">
        <f t="shared" ref="X60:X61" si="81">V60+W60</f>
        <v>44267.167000000052</v>
      </c>
      <c r="Y60" s="24"/>
      <c r="Z60" s="23">
        <f t="shared" ref="Z60:Z61" si="82">X60+Y60</f>
        <v>44267.167000000052</v>
      </c>
      <c r="AA60" s="16" t="s">
        <v>253</v>
      </c>
      <c r="AB60" s="6">
        <v>0</v>
      </c>
    </row>
    <row r="61" spans="1:28" x14ac:dyDescent="0.3">
      <c r="A61" s="64"/>
      <c r="B61" s="73" t="s">
        <v>16</v>
      </c>
      <c r="C61" s="73"/>
      <c r="D61" s="23">
        <v>59722.8</v>
      </c>
      <c r="E61" s="23">
        <v>-59722.8</v>
      </c>
      <c r="F61" s="23">
        <f t="shared" si="0"/>
        <v>0</v>
      </c>
      <c r="G61" s="23"/>
      <c r="H61" s="23">
        <f t="shared" si="73"/>
        <v>0</v>
      </c>
      <c r="I61" s="23"/>
      <c r="J61" s="23">
        <f t="shared" si="74"/>
        <v>0</v>
      </c>
      <c r="K61" s="23">
        <v>126116.185</v>
      </c>
      <c r="L61" s="23">
        <f t="shared" si="75"/>
        <v>126116.185</v>
      </c>
      <c r="M61" s="23"/>
      <c r="N61" s="23">
        <f t="shared" si="76"/>
        <v>126116.185</v>
      </c>
      <c r="O61" s="23"/>
      <c r="P61" s="23">
        <f t="shared" si="77"/>
        <v>126116.185</v>
      </c>
      <c r="Q61" s="23"/>
      <c r="R61" s="23">
        <f t="shared" si="78"/>
        <v>126116.185</v>
      </c>
      <c r="S61" s="23"/>
      <c r="T61" s="23">
        <f t="shared" si="79"/>
        <v>126116.185</v>
      </c>
      <c r="U61" s="23"/>
      <c r="V61" s="23">
        <f t="shared" si="80"/>
        <v>126116.185</v>
      </c>
      <c r="W61" s="23"/>
      <c r="X61" s="23">
        <f t="shared" si="81"/>
        <v>126116.185</v>
      </c>
      <c r="Y61" s="24"/>
      <c r="Z61" s="70">
        <f t="shared" si="82"/>
        <v>126116.185</v>
      </c>
      <c r="AA61" s="16" t="s">
        <v>160</v>
      </c>
    </row>
    <row r="62" spans="1:28" s="2" customFormat="1" hidden="1" x14ac:dyDescent="0.3">
      <c r="A62" s="1"/>
      <c r="B62" s="8" t="s">
        <v>20</v>
      </c>
      <c r="C62" s="4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4"/>
      <c r="Z62" s="23"/>
      <c r="AA62" s="16"/>
      <c r="AB62" s="6">
        <v>0</v>
      </c>
    </row>
    <row r="63" spans="1:28" ht="60.75" customHeight="1" x14ac:dyDescent="0.3">
      <c r="A63" s="64" t="s">
        <v>111</v>
      </c>
      <c r="B63" s="71" t="s">
        <v>88</v>
      </c>
      <c r="C63" s="72" t="s">
        <v>45</v>
      </c>
      <c r="D63" s="23">
        <v>10287.200000000001</v>
      </c>
      <c r="E63" s="23">
        <f>-10287.2+10287.2</f>
        <v>0</v>
      </c>
      <c r="F63" s="23">
        <f t="shared" si="0"/>
        <v>10287.200000000001</v>
      </c>
      <c r="G63" s="23">
        <v>14483.197</v>
      </c>
      <c r="H63" s="23">
        <f t="shared" si="73"/>
        <v>24770.397000000001</v>
      </c>
      <c r="I63" s="23"/>
      <c r="J63" s="23">
        <f t="shared" si="74"/>
        <v>24770.397000000001</v>
      </c>
      <c r="K63" s="23">
        <f>62426.148-16000</f>
        <v>46426.148000000001</v>
      </c>
      <c r="L63" s="23">
        <f t="shared" si="75"/>
        <v>71196.544999999998</v>
      </c>
      <c r="M63" s="23"/>
      <c r="N63" s="23">
        <f t="shared" ref="N63:N70" si="83">L63+M63</f>
        <v>71196.544999999998</v>
      </c>
      <c r="O63" s="23"/>
      <c r="P63" s="23">
        <f t="shared" ref="P63:P70" si="84">N63+O63</f>
        <v>71196.544999999998</v>
      </c>
      <c r="Q63" s="23"/>
      <c r="R63" s="23">
        <f t="shared" ref="R63:R70" si="85">P63+Q63</f>
        <v>71196.544999999998</v>
      </c>
      <c r="S63" s="23">
        <v>-14389.197</v>
      </c>
      <c r="T63" s="23">
        <f t="shared" ref="T63:T70" si="86">R63+S63</f>
        <v>56807.347999999998</v>
      </c>
      <c r="U63" s="23"/>
      <c r="V63" s="23">
        <f t="shared" ref="V63:V70" si="87">T63+U63</f>
        <v>56807.347999999998</v>
      </c>
      <c r="W63" s="23">
        <v>-14822.95</v>
      </c>
      <c r="X63" s="23">
        <f t="shared" ref="X63:X70" si="88">V63+W63</f>
        <v>41984.398000000001</v>
      </c>
      <c r="Y63" s="24"/>
      <c r="Z63" s="70">
        <f t="shared" ref="Z63:Z70" si="89">X63+Y63</f>
        <v>41984.398000000001</v>
      </c>
      <c r="AA63" s="16" t="s">
        <v>176</v>
      </c>
    </row>
    <row r="64" spans="1:28" ht="61.5" customHeight="1" x14ac:dyDescent="0.3">
      <c r="A64" s="64" t="s">
        <v>112</v>
      </c>
      <c r="B64" s="67" t="s">
        <v>170</v>
      </c>
      <c r="C64" s="72" t="s">
        <v>45</v>
      </c>
      <c r="D64" s="23">
        <v>7133.5</v>
      </c>
      <c r="E64" s="23"/>
      <c r="F64" s="23">
        <f t="shared" si="0"/>
        <v>7133.5</v>
      </c>
      <c r="G64" s="23"/>
      <c r="H64" s="23">
        <f t="shared" si="73"/>
        <v>7133.5</v>
      </c>
      <c r="I64" s="23"/>
      <c r="J64" s="23">
        <f t="shared" si="74"/>
        <v>7133.5</v>
      </c>
      <c r="K64" s="23"/>
      <c r="L64" s="23">
        <f t="shared" si="75"/>
        <v>7133.5</v>
      </c>
      <c r="M64" s="23"/>
      <c r="N64" s="23">
        <f t="shared" si="83"/>
        <v>7133.5</v>
      </c>
      <c r="O64" s="23"/>
      <c r="P64" s="23">
        <f t="shared" si="84"/>
        <v>7133.5</v>
      </c>
      <c r="Q64" s="23"/>
      <c r="R64" s="23">
        <f t="shared" si="85"/>
        <v>7133.5</v>
      </c>
      <c r="S64" s="23">
        <v>13048.159</v>
      </c>
      <c r="T64" s="23">
        <f t="shared" si="86"/>
        <v>20181.659</v>
      </c>
      <c r="U64" s="23"/>
      <c r="V64" s="23">
        <f t="shared" si="87"/>
        <v>20181.659</v>
      </c>
      <c r="W64" s="23"/>
      <c r="X64" s="23">
        <f t="shared" si="88"/>
        <v>20181.659</v>
      </c>
      <c r="Y64" s="24">
        <v>-12147</v>
      </c>
      <c r="Z64" s="70">
        <f>X64+Y64</f>
        <v>8034.6589999999997</v>
      </c>
      <c r="AA64" s="16" t="s">
        <v>96</v>
      </c>
    </row>
    <row r="65" spans="1:28" ht="60.75" customHeight="1" x14ac:dyDescent="0.3">
      <c r="A65" s="64" t="s">
        <v>113</v>
      </c>
      <c r="B65" s="71" t="s">
        <v>171</v>
      </c>
      <c r="C65" s="72" t="s">
        <v>45</v>
      </c>
      <c r="D65" s="23">
        <v>140889.70000000001</v>
      </c>
      <c r="E65" s="23"/>
      <c r="F65" s="23">
        <f t="shared" si="0"/>
        <v>140889.70000000001</v>
      </c>
      <c r="G65" s="23">
        <v>-25982.239000000001</v>
      </c>
      <c r="H65" s="23">
        <f t="shared" si="73"/>
        <v>114907.46100000001</v>
      </c>
      <c r="I65" s="23"/>
      <c r="J65" s="23">
        <f t="shared" si="74"/>
        <v>114907.46100000001</v>
      </c>
      <c r="K65" s="23"/>
      <c r="L65" s="23">
        <f t="shared" si="75"/>
        <v>114907.46100000001</v>
      </c>
      <c r="M65" s="23"/>
      <c r="N65" s="23">
        <f t="shared" si="83"/>
        <v>114907.46100000001</v>
      </c>
      <c r="O65" s="23"/>
      <c r="P65" s="23">
        <f t="shared" si="84"/>
        <v>114907.46100000001</v>
      </c>
      <c r="Q65" s="23"/>
      <c r="R65" s="23">
        <f t="shared" si="85"/>
        <v>114907.46100000001</v>
      </c>
      <c r="S65" s="23">
        <f>-30546-59454</f>
        <v>-90000</v>
      </c>
      <c r="T65" s="23">
        <f t="shared" si="86"/>
        <v>24907.46100000001</v>
      </c>
      <c r="U65" s="23"/>
      <c r="V65" s="23">
        <f t="shared" si="87"/>
        <v>24907.46100000001</v>
      </c>
      <c r="W65" s="23">
        <v>-15.000999999999999</v>
      </c>
      <c r="X65" s="23">
        <f t="shared" si="88"/>
        <v>24892.46000000001</v>
      </c>
      <c r="Y65" s="24"/>
      <c r="Z65" s="70">
        <f t="shared" si="89"/>
        <v>24892.46000000001</v>
      </c>
      <c r="AA65" s="16" t="s">
        <v>97</v>
      </c>
    </row>
    <row r="66" spans="1:28" ht="36" x14ac:dyDescent="0.3">
      <c r="A66" s="64" t="s">
        <v>114</v>
      </c>
      <c r="B66" s="71" t="s">
        <v>89</v>
      </c>
      <c r="C66" s="73" t="s">
        <v>11</v>
      </c>
      <c r="D66" s="23">
        <v>16000</v>
      </c>
      <c r="E66" s="23"/>
      <c r="F66" s="23">
        <f t="shared" si="0"/>
        <v>16000</v>
      </c>
      <c r="G66" s="23"/>
      <c r="H66" s="23">
        <f t="shared" si="73"/>
        <v>16000</v>
      </c>
      <c r="I66" s="23"/>
      <c r="J66" s="23">
        <f t="shared" si="74"/>
        <v>16000</v>
      </c>
      <c r="K66" s="23"/>
      <c r="L66" s="23">
        <f t="shared" si="75"/>
        <v>16000</v>
      </c>
      <c r="M66" s="23"/>
      <c r="N66" s="23">
        <f t="shared" si="83"/>
        <v>16000</v>
      </c>
      <c r="O66" s="23"/>
      <c r="P66" s="23">
        <f t="shared" si="84"/>
        <v>16000</v>
      </c>
      <c r="Q66" s="23"/>
      <c r="R66" s="23">
        <f t="shared" si="85"/>
        <v>16000</v>
      </c>
      <c r="S66" s="23">
        <v>-1760.09</v>
      </c>
      <c r="T66" s="23">
        <f t="shared" si="86"/>
        <v>14239.91</v>
      </c>
      <c r="U66" s="23"/>
      <c r="V66" s="23">
        <f t="shared" si="87"/>
        <v>14239.91</v>
      </c>
      <c r="W66" s="23"/>
      <c r="X66" s="23">
        <f t="shared" si="88"/>
        <v>14239.91</v>
      </c>
      <c r="Y66" s="24"/>
      <c r="Z66" s="70">
        <f t="shared" si="89"/>
        <v>14239.91</v>
      </c>
      <c r="AA66" s="16" t="s">
        <v>98</v>
      </c>
    </row>
    <row r="67" spans="1:28" ht="36" x14ac:dyDescent="0.3">
      <c r="A67" s="64" t="s">
        <v>115</v>
      </c>
      <c r="B67" s="71" t="s">
        <v>90</v>
      </c>
      <c r="C67" s="73" t="s">
        <v>11</v>
      </c>
      <c r="D67" s="23">
        <v>622.9</v>
      </c>
      <c r="E67" s="23"/>
      <c r="F67" s="23">
        <f t="shared" si="0"/>
        <v>622.9</v>
      </c>
      <c r="G67" s="23"/>
      <c r="H67" s="23">
        <f t="shared" si="73"/>
        <v>622.9</v>
      </c>
      <c r="I67" s="23"/>
      <c r="J67" s="23">
        <f t="shared" si="74"/>
        <v>622.9</v>
      </c>
      <c r="K67" s="23"/>
      <c r="L67" s="23">
        <f t="shared" si="75"/>
        <v>622.9</v>
      </c>
      <c r="M67" s="23"/>
      <c r="N67" s="23">
        <f t="shared" si="83"/>
        <v>622.9</v>
      </c>
      <c r="O67" s="23"/>
      <c r="P67" s="23">
        <f t="shared" si="84"/>
        <v>622.9</v>
      </c>
      <c r="Q67" s="23"/>
      <c r="R67" s="23">
        <f t="shared" si="85"/>
        <v>622.9</v>
      </c>
      <c r="S67" s="23"/>
      <c r="T67" s="23">
        <f t="shared" si="86"/>
        <v>622.9</v>
      </c>
      <c r="U67" s="23"/>
      <c r="V67" s="23">
        <f t="shared" si="87"/>
        <v>622.9</v>
      </c>
      <c r="W67" s="23"/>
      <c r="X67" s="23">
        <f t="shared" si="88"/>
        <v>622.9</v>
      </c>
      <c r="Y67" s="24"/>
      <c r="Z67" s="70">
        <f t="shared" si="89"/>
        <v>622.9</v>
      </c>
      <c r="AA67" s="16" t="s">
        <v>99</v>
      </c>
    </row>
    <row r="68" spans="1:28" ht="49.5" customHeight="1" x14ac:dyDescent="0.3">
      <c r="A68" s="64" t="s">
        <v>116</v>
      </c>
      <c r="B68" s="71" t="s">
        <v>91</v>
      </c>
      <c r="C68" s="73" t="s">
        <v>11</v>
      </c>
      <c r="D68" s="23">
        <v>16000</v>
      </c>
      <c r="E68" s="23"/>
      <c r="F68" s="23">
        <f t="shared" si="0"/>
        <v>16000</v>
      </c>
      <c r="G68" s="23"/>
      <c r="H68" s="23">
        <f t="shared" si="73"/>
        <v>16000</v>
      </c>
      <c r="I68" s="23"/>
      <c r="J68" s="23">
        <f t="shared" si="74"/>
        <v>16000</v>
      </c>
      <c r="K68" s="23"/>
      <c r="L68" s="23">
        <f t="shared" si="75"/>
        <v>16000</v>
      </c>
      <c r="M68" s="23"/>
      <c r="N68" s="23">
        <f t="shared" si="83"/>
        <v>16000</v>
      </c>
      <c r="O68" s="23"/>
      <c r="P68" s="23">
        <f t="shared" si="84"/>
        <v>16000</v>
      </c>
      <c r="Q68" s="23"/>
      <c r="R68" s="23">
        <f t="shared" si="85"/>
        <v>16000</v>
      </c>
      <c r="S68" s="23"/>
      <c r="T68" s="23">
        <f t="shared" si="86"/>
        <v>16000</v>
      </c>
      <c r="U68" s="23"/>
      <c r="V68" s="23">
        <f t="shared" si="87"/>
        <v>16000</v>
      </c>
      <c r="W68" s="23"/>
      <c r="X68" s="23">
        <f t="shared" si="88"/>
        <v>16000</v>
      </c>
      <c r="Y68" s="24">
        <v>-938.06200000000001</v>
      </c>
      <c r="Z68" s="70">
        <f t="shared" si="89"/>
        <v>15061.938</v>
      </c>
      <c r="AA68" s="16" t="s">
        <v>100</v>
      </c>
    </row>
    <row r="69" spans="1:28" ht="36" x14ac:dyDescent="0.3">
      <c r="A69" s="64" t="s">
        <v>117</v>
      </c>
      <c r="B69" s="71" t="s">
        <v>93</v>
      </c>
      <c r="C69" s="73" t="s">
        <v>11</v>
      </c>
      <c r="D69" s="23">
        <v>14500</v>
      </c>
      <c r="E69" s="23"/>
      <c r="F69" s="23">
        <f t="shared" si="0"/>
        <v>14500</v>
      </c>
      <c r="G69" s="23"/>
      <c r="H69" s="23">
        <f t="shared" si="73"/>
        <v>14500</v>
      </c>
      <c r="I69" s="23"/>
      <c r="J69" s="23">
        <f t="shared" si="74"/>
        <v>14500</v>
      </c>
      <c r="K69" s="23"/>
      <c r="L69" s="23">
        <f t="shared" si="75"/>
        <v>14500</v>
      </c>
      <c r="M69" s="23"/>
      <c r="N69" s="23">
        <f t="shared" si="83"/>
        <v>14500</v>
      </c>
      <c r="O69" s="23"/>
      <c r="P69" s="23">
        <f t="shared" si="84"/>
        <v>14500</v>
      </c>
      <c r="Q69" s="23"/>
      <c r="R69" s="23">
        <f t="shared" si="85"/>
        <v>14500</v>
      </c>
      <c r="S69" s="23"/>
      <c r="T69" s="23">
        <f t="shared" si="86"/>
        <v>14500</v>
      </c>
      <c r="U69" s="23"/>
      <c r="V69" s="23">
        <f t="shared" si="87"/>
        <v>14500</v>
      </c>
      <c r="W69" s="23"/>
      <c r="X69" s="23">
        <f t="shared" si="88"/>
        <v>14500</v>
      </c>
      <c r="Y69" s="24">
        <v>-915.70799999999997</v>
      </c>
      <c r="Z69" s="70">
        <f t="shared" si="89"/>
        <v>13584.291999999999</v>
      </c>
      <c r="AA69" s="16" t="s">
        <v>101</v>
      </c>
    </row>
    <row r="70" spans="1:28" ht="54" x14ac:dyDescent="0.3">
      <c r="A70" s="64" t="s">
        <v>118</v>
      </c>
      <c r="B70" s="71" t="s">
        <v>251</v>
      </c>
      <c r="C70" s="72" t="s">
        <v>45</v>
      </c>
      <c r="D70" s="23"/>
      <c r="E70" s="23"/>
      <c r="F70" s="23"/>
      <c r="G70" s="23"/>
      <c r="H70" s="23"/>
      <c r="I70" s="23"/>
      <c r="J70" s="23"/>
      <c r="K70" s="23">
        <f>K72+K73+K74</f>
        <v>71066.23</v>
      </c>
      <c r="L70" s="23">
        <f t="shared" si="75"/>
        <v>71066.23</v>
      </c>
      <c r="M70" s="23">
        <f>M72+M73+M74</f>
        <v>-8185.34</v>
      </c>
      <c r="N70" s="23">
        <f t="shared" si="83"/>
        <v>62880.89</v>
      </c>
      <c r="O70" s="23">
        <f>O72+O73+O74</f>
        <v>0</v>
      </c>
      <c r="P70" s="23">
        <f t="shared" si="84"/>
        <v>62880.89</v>
      </c>
      <c r="Q70" s="23">
        <f>Q72+Q73+Q74</f>
        <v>0</v>
      </c>
      <c r="R70" s="23">
        <f t="shared" si="85"/>
        <v>62880.89</v>
      </c>
      <c r="S70" s="23">
        <f>S72+S73+S74</f>
        <v>0</v>
      </c>
      <c r="T70" s="23">
        <f t="shared" si="86"/>
        <v>62880.89</v>
      </c>
      <c r="U70" s="23">
        <f>U72+U73+U74</f>
        <v>0</v>
      </c>
      <c r="V70" s="23">
        <f t="shared" si="87"/>
        <v>62880.89</v>
      </c>
      <c r="W70" s="23">
        <f>W72+W73+W74</f>
        <v>-16083.746999999999</v>
      </c>
      <c r="X70" s="23">
        <f t="shared" si="88"/>
        <v>46797.142999999996</v>
      </c>
      <c r="Y70" s="24">
        <f>Y72+Y73+Y74</f>
        <v>-1827.692</v>
      </c>
      <c r="Z70" s="70">
        <f t="shared" si="89"/>
        <v>44969.450999999994</v>
      </c>
    </row>
    <row r="71" spans="1:28" x14ac:dyDescent="0.3">
      <c r="A71" s="64"/>
      <c r="B71" s="65" t="s">
        <v>2</v>
      </c>
      <c r="C71" s="7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4"/>
      <c r="Z71" s="70"/>
    </row>
    <row r="72" spans="1:28" s="2" customFormat="1" hidden="1" x14ac:dyDescent="0.3">
      <c r="A72" s="1"/>
      <c r="B72" s="4" t="s">
        <v>3</v>
      </c>
      <c r="C72" s="4"/>
      <c r="D72" s="23"/>
      <c r="E72" s="23"/>
      <c r="F72" s="23"/>
      <c r="G72" s="23"/>
      <c r="H72" s="23"/>
      <c r="I72" s="23"/>
      <c r="J72" s="23"/>
      <c r="K72" s="23">
        <f>38804.2+32.23</f>
        <v>38836.43</v>
      </c>
      <c r="L72" s="23">
        <f t="shared" si="75"/>
        <v>38836.43</v>
      </c>
      <c r="M72" s="23">
        <v>-8185.34</v>
      </c>
      <c r="N72" s="23">
        <f t="shared" ref="N72:N81" si="90">L72+M72</f>
        <v>30651.09</v>
      </c>
      <c r="O72" s="23"/>
      <c r="P72" s="23">
        <f t="shared" ref="P72:P81" si="91">N72+O72</f>
        <v>30651.09</v>
      </c>
      <c r="Q72" s="23"/>
      <c r="R72" s="23">
        <f t="shared" ref="R72:R81" si="92">P72+Q72</f>
        <v>30651.09</v>
      </c>
      <c r="S72" s="23"/>
      <c r="T72" s="23">
        <f t="shared" ref="T72:T81" si="93">R72+S72</f>
        <v>30651.09</v>
      </c>
      <c r="U72" s="23"/>
      <c r="V72" s="23">
        <f t="shared" ref="V72:V81" si="94">T72+U72</f>
        <v>30651.09</v>
      </c>
      <c r="W72" s="23">
        <v>-16083.746999999999</v>
      </c>
      <c r="X72" s="23">
        <f t="shared" ref="X72:X81" si="95">V72+W72</f>
        <v>14567.343000000001</v>
      </c>
      <c r="Y72" s="24">
        <v>-1827.692</v>
      </c>
      <c r="Z72" s="23">
        <f t="shared" ref="Z72:Z81" si="96">X72+Y72</f>
        <v>12739.651000000002</v>
      </c>
      <c r="AA72" s="16" t="s">
        <v>252</v>
      </c>
      <c r="AB72" s="6">
        <v>0</v>
      </c>
    </row>
    <row r="73" spans="1:28" x14ac:dyDescent="0.3">
      <c r="A73" s="64"/>
      <c r="B73" s="73" t="s">
        <v>16</v>
      </c>
      <c r="C73" s="73"/>
      <c r="D73" s="23"/>
      <c r="E73" s="23"/>
      <c r="F73" s="23"/>
      <c r="G73" s="23"/>
      <c r="H73" s="23"/>
      <c r="I73" s="23"/>
      <c r="J73" s="23"/>
      <c r="K73" s="23">
        <v>1611.5</v>
      </c>
      <c r="L73" s="23">
        <f t="shared" si="75"/>
        <v>1611.5</v>
      </c>
      <c r="M73" s="23"/>
      <c r="N73" s="23">
        <f t="shared" si="90"/>
        <v>1611.5</v>
      </c>
      <c r="O73" s="23"/>
      <c r="P73" s="23">
        <f t="shared" si="91"/>
        <v>1611.5</v>
      </c>
      <c r="Q73" s="23"/>
      <c r="R73" s="23">
        <f t="shared" si="92"/>
        <v>1611.5</v>
      </c>
      <c r="S73" s="23"/>
      <c r="T73" s="23">
        <f t="shared" si="93"/>
        <v>1611.5</v>
      </c>
      <c r="U73" s="23"/>
      <c r="V73" s="23">
        <f t="shared" si="94"/>
        <v>1611.5</v>
      </c>
      <c r="W73" s="23"/>
      <c r="X73" s="23">
        <f t="shared" si="95"/>
        <v>1611.5</v>
      </c>
      <c r="Y73" s="24"/>
      <c r="Z73" s="70">
        <f t="shared" si="96"/>
        <v>1611.5</v>
      </c>
      <c r="AA73" s="16" t="s">
        <v>246</v>
      </c>
    </row>
    <row r="74" spans="1:28" x14ac:dyDescent="0.3">
      <c r="A74" s="64"/>
      <c r="B74" s="67" t="s">
        <v>20</v>
      </c>
      <c r="C74" s="73"/>
      <c r="D74" s="23"/>
      <c r="E74" s="23"/>
      <c r="F74" s="23"/>
      <c r="G74" s="23"/>
      <c r="H74" s="23"/>
      <c r="I74" s="23"/>
      <c r="J74" s="23"/>
      <c r="K74" s="23">
        <v>30618.3</v>
      </c>
      <c r="L74" s="23">
        <f t="shared" si="75"/>
        <v>30618.3</v>
      </c>
      <c r="M74" s="23"/>
      <c r="N74" s="23">
        <f t="shared" si="90"/>
        <v>30618.3</v>
      </c>
      <c r="O74" s="23"/>
      <c r="P74" s="23">
        <f t="shared" si="91"/>
        <v>30618.3</v>
      </c>
      <c r="Q74" s="23"/>
      <c r="R74" s="23">
        <f t="shared" si="92"/>
        <v>30618.3</v>
      </c>
      <c r="S74" s="23"/>
      <c r="T74" s="23">
        <f t="shared" si="93"/>
        <v>30618.3</v>
      </c>
      <c r="U74" s="23"/>
      <c r="V74" s="23">
        <f t="shared" si="94"/>
        <v>30618.3</v>
      </c>
      <c r="W74" s="23"/>
      <c r="X74" s="23">
        <f t="shared" si="95"/>
        <v>30618.3</v>
      </c>
      <c r="Y74" s="24"/>
      <c r="Z74" s="70">
        <f t="shared" si="96"/>
        <v>30618.3</v>
      </c>
      <c r="AA74" s="16" t="s">
        <v>246</v>
      </c>
    </row>
    <row r="75" spans="1:28" ht="36" x14ac:dyDescent="0.3">
      <c r="A75" s="64" t="s">
        <v>119</v>
      </c>
      <c r="B75" s="71" t="s">
        <v>285</v>
      </c>
      <c r="C75" s="73" t="s">
        <v>11</v>
      </c>
      <c r="D75" s="23"/>
      <c r="E75" s="23"/>
      <c r="F75" s="23"/>
      <c r="G75" s="23"/>
      <c r="H75" s="23"/>
      <c r="I75" s="23"/>
      <c r="J75" s="23"/>
      <c r="K75" s="23">
        <v>16000</v>
      </c>
      <c r="L75" s="23">
        <f t="shared" si="75"/>
        <v>16000</v>
      </c>
      <c r="M75" s="23"/>
      <c r="N75" s="23">
        <f t="shared" si="90"/>
        <v>16000</v>
      </c>
      <c r="O75" s="23">
        <v>-3578.4</v>
      </c>
      <c r="P75" s="23">
        <f t="shared" si="91"/>
        <v>12421.6</v>
      </c>
      <c r="Q75" s="23"/>
      <c r="R75" s="23">
        <f t="shared" si="92"/>
        <v>12421.6</v>
      </c>
      <c r="S75" s="23"/>
      <c r="T75" s="23">
        <f t="shared" si="93"/>
        <v>12421.6</v>
      </c>
      <c r="U75" s="23"/>
      <c r="V75" s="23">
        <f t="shared" si="94"/>
        <v>12421.6</v>
      </c>
      <c r="W75" s="23"/>
      <c r="X75" s="23">
        <f t="shared" si="95"/>
        <v>12421.6</v>
      </c>
      <c r="Y75" s="24"/>
      <c r="Z75" s="70">
        <f t="shared" si="96"/>
        <v>12421.6</v>
      </c>
      <c r="AA75" s="16" t="s">
        <v>254</v>
      </c>
    </row>
    <row r="76" spans="1:28" s="2" customFormat="1" ht="54" hidden="1" x14ac:dyDescent="0.3">
      <c r="A76" s="1" t="s">
        <v>120</v>
      </c>
      <c r="B76" s="43" t="s">
        <v>275</v>
      </c>
      <c r="C76" s="44" t="s">
        <v>45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>
        <f t="shared" si="93"/>
        <v>0</v>
      </c>
      <c r="U76" s="23"/>
      <c r="V76" s="23">
        <f t="shared" si="94"/>
        <v>0</v>
      </c>
      <c r="W76" s="23"/>
      <c r="X76" s="23">
        <f t="shared" si="95"/>
        <v>0</v>
      </c>
      <c r="Y76" s="24"/>
      <c r="Z76" s="23">
        <f t="shared" si="96"/>
        <v>0</v>
      </c>
      <c r="AA76" s="16" t="s">
        <v>276</v>
      </c>
      <c r="AB76" s="6">
        <v>0</v>
      </c>
    </row>
    <row r="77" spans="1:28" s="2" customFormat="1" ht="54" hidden="1" x14ac:dyDescent="0.3">
      <c r="A77" s="1" t="s">
        <v>120</v>
      </c>
      <c r="B77" s="47" t="s">
        <v>282</v>
      </c>
      <c r="C77" s="46" t="s">
        <v>45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>
        <v>2266.5940000000001</v>
      </c>
      <c r="T77" s="23">
        <f t="shared" si="93"/>
        <v>2266.5940000000001</v>
      </c>
      <c r="U77" s="23">
        <v>-2266.5940000000001</v>
      </c>
      <c r="V77" s="23">
        <f t="shared" si="94"/>
        <v>0</v>
      </c>
      <c r="W77" s="23"/>
      <c r="X77" s="23">
        <f t="shared" si="95"/>
        <v>0</v>
      </c>
      <c r="Y77" s="24"/>
      <c r="Z77" s="23">
        <f t="shared" si="96"/>
        <v>0</v>
      </c>
      <c r="AA77" s="16" t="s">
        <v>277</v>
      </c>
      <c r="AB77" s="6">
        <v>0</v>
      </c>
    </row>
    <row r="78" spans="1:28" ht="54" x14ac:dyDescent="0.3">
      <c r="A78" s="64" t="s">
        <v>120</v>
      </c>
      <c r="B78" s="71" t="s">
        <v>287</v>
      </c>
      <c r="C78" s="72" t="s">
        <v>45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>
        <v>15</v>
      </c>
      <c r="X78" s="23">
        <f t="shared" si="95"/>
        <v>15</v>
      </c>
      <c r="Y78" s="24"/>
      <c r="Z78" s="70">
        <f t="shared" si="96"/>
        <v>15</v>
      </c>
      <c r="AA78" s="16" t="s">
        <v>288</v>
      </c>
    </row>
    <row r="79" spans="1:28" ht="54" x14ac:dyDescent="0.3">
      <c r="A79" s="64" t="s">
        <v>121</v>
      </c>
      <c r="B79" s="71" t="s">
        <v>296</v>
      </c>
      <c r="C79" s="72" t="s">
        <v>45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>
        <v>1595.1410000000001</v>
      </c>
      <c r="X79" s="23">
        <f t="shared" si="95"/>
        <v>1595.1410000000001</v>
      </c>
      <c r="Y79" s="24"/>
      <c r="Z79" s="70">
        <f t="shared" si="96"/>
        <v>1595.1410000000001</v>
      </c>
      <c r="AA79" s="16" t="s">
        <v>291</v>
      </c>
    </row>
    <row r="80" spans="1:28" ht="54" x14ac:dyDescent="0.3">
      <c r="A80" s="64" t="s">
        <v>122</v>
      </c>
      <c r="B80" s="71" t="s">
        <v>289</v>
      </c>
      <c r="C80" s="72" t="s">
        <v>45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>
        <v>30352.190999999999</v>
      </c>
      <c r="X80" s="23">
        <f t="shared" si="95"/>
        <v>30352.190999999999</v>
      </c>
      <c r="Y80" s="24"/>
      <c r="Z80" s="70">
        <f t="shared" si="96"/>
        <v>30352.190999999999</v>
      </c>
      <c r="AA80" s="16" t="s">
        <v>290</v>
      </c>
    </row>
    <row r="81" spans="1:29" x14ac:dyDescent="0.3">
      <c r="A81" s="64"/>
      <c r="B81" s="73" t="s">
        <v>4</v>
      </c>
      <c r="C81" s="72"/>
      <c r="D81" s="22">
        <f>D83+D84</f>
        <v>1387582.7000000002</v>
      </c>
      <c r="E81" s="22">
        <f>E83+E84+E85</f>
        <v>1231.5</v>
      </c>
      <c r="F81" s="22">
        <f t="shared" si="0"/>
        <v>1388814.2000000002</v>
      </c>
      <c r="G81" s="22">
        <f>G83+G84+G85</f>
        <v>63498.306000000004</v>
      </c>
      <c r="H81" s="22">
        <f t="shared" si="73"/>
        <v>1452312.5060000003</v>
      </c>
      <c r="I81" s="22">
        <f>I83+I84+I85</f>
        <v>0</v>
      </c>
      <c r="J81" s="22">
        <f t="shared" si="74"/>
        <v>1452312.5060000003</v>
      </c>
      <c r="K81" s="22">
        <f>K83+K84+K85</f>
        <v>-14206.919999999998</v>
      </c>
      <c r="L81" s="22">
        <f t="shared" si="75"/>
        <v>1438105.5860000004</v>
      </c>
      <c r="M81" s="22">
        <f>M83+M84+M85</f>
        <v>-15000</v>
      </c>
      <c r="N81" s="22">
        <f t="shared" si="90"/>
        <v>1423105.5860000004</v>
      </c>
      <c r="O81" s="22">
        <f>O83+O84+O85+O86</f>
        <v>1414056.1209999998</v>
      </c>
      <c r="P81" s="22">
        <f t="shared" si="91"/>
        <v>2837161.7070000004</v>
      </c>
      <c r="Q81" s="22">
        <f>Q83+Q84+Q85+Q86</f>
        <v>0</v>
      </c>
      <c r="R81" s="22">
        <f t="shared" si="92"/>
        <v>2837161.7070000004</v>
      </c>
      <c r="S81" s="22">
        <f>S83+S84+S85+S86</f>
        <v>6230.9400000000005</v>
      </c>
      <c r="T81" s="22">
        <f t="shared" si="93"/>
        <v>2843392.6470000003</v>
      </c>
      <c r="U81" s="22">
        <f>U83+U84+U85+U86</f>
        <v>0</v>
      </c>
      <c r="V81" s="22">
        <f t="shared" si="94"/>
        <v>2843392.6470000003</v>
      </c>
      <c r="W81" s="22">
        <f>W83+W84+W85+W86</f>
        <v>3361.4300000000003</v>
      </c>
      <c r="X81" s="22">
        <f t="shared" si="95"/>
        <v>2846754.0770000005</v>
      </c>
      <c r="Y81" s="22">
        <f>Y83+Y84+Y85+Y86</f>
        <v>-351150.45399999997</v>
      </c>
      <c r="Z81" s="70">
        <f t="shared" si="96"/>
        <v>2495603.6230000006</v>
      </c>
      <c r="AA81" s="48"/>
      <c r="AB81" s="49"/>
      <c r="AC81" s="52"/>
    </row>
    <row r="82" spans="1:29" x14ac:dyDescent="0.3">
      <c r="A82" s="64"/>
      <c r="B82" s="65" t="s">
        <v>2</v>
      </c>
      <c r="C82" s="7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4"/>
      <c r="Z82" s="70"/>
    </row>
    <row r="83" spans="1:29" s="2" customFormat="1" hidden="1" x14ac:dyDescent="0.35">
      <c r="A83" s="1"/>
      <c r="B83" s="4" t="s">
        <v>3</v>
      </c>
      <c r="C83" s="4"/>
      <c r="D83" s="25">
        <f>D87+D89+D90+D91+D92+D93+D95+D97+D98+D99+D101+D103+D104+D107</f>
        <v>820066.20000000007</v>
      </c>
      <c r="E83" s="25">
        <f>E87+E89+E90+E91+E92+E93+E95+E97+E98+E99+E101+E103+E104+E107</f>
        <v>-129824.99999999999</v>
      </c>
      <c r="F83" s="23">
        <f t="shared" si="0"/>
        <v>690241.20000000007</v>
      </c>
      <c r="G83" s="25">
        <f>G87+G89+G90+G91+G92+G93+G95+G97+G98+G99+G101+G103+G104+G107+G88+G100+G102+G125+G118+G119+G120+G122+G123</f>
        <v>63498.306000000004</v>
      </c>
      <c r="H83" s="23">
        <f t="shared" ref="H83:H104" si="97">F83+G83</f>
        <v>753739.50600000005</v>
      </c>
      <c r="I83" s="25">
        <f>I87+I89+I90+I91+I92+I93+I95+I97+I98+I99+I101+I103+I104+I107+I88+I100+I102+I125+I118+I119+I120+I122+I123</f>
        <v>0</v>
      </c>
      <c r="J83" s="23">
        <f t="shared" ref="J83:J104" si="98">H83+I83</f>
        <v>753739.50600000005</v>
      </c>
      <c r="K83" s="25">
        <f>K87+K89+K90+K91+K92+K93+K95+K97+K98+K99+K101+K103+K104+K107+K88+K100+K102+K125+K118+K119+K120+K122+K123</f>
        <v>-14206.919999999998</v>
      </c>
      <c r="L83" s="23">
        <f t="shared" ref="L83:L104" si="99">J83+K83</f>
        <v>739532.58600000001</v>
      </c>
      <c r="M83" s="25">
        <f>M87+M89+M90+M91+M92+M93+M95+M97+M98+M99+M101+M103+M104+M107+M88+M100+M102+M125+M118+M119+M120+M122+M123</f>
        <v>-15000</v>
      </c>
      <c r="N83" s="23">
        <f t="shared" ref="N83:N104" si="100">L83+M83</f>
        <v>724532.58600000001</v>
      </c>
      <c r="O83" s="25">
        <f>O87+O89+O90+O91+O92+O93+O95+O97+O98+O99+O101+O103+O104+O107+O88+O100+O102+O125+O118+O119+O120+O122+O123+O121</f>
        <v>42277.493000000017</v>
      </c>
      <c r="P83" s="23">
        <f t="shared" ref="P83:P104" si="101">N83+O83</f>
        <v>766810.07900000003</v>
      </c>
      <c r="Q83" s="25">
        <f>Q87+Q89+Q90+Q91+Q92+Q93+Q95+Q97+Q98+Q99+Q101+Q103+Q104+Q107+Q88+Q100+Q102+Q125+Q118+Q119+Q120+Q122+Q123+Q121</f>
        <v>0</v>
      </c>
      <c r="R83" s="23">
        <f t="shared" ref="R83:R104" si="102">P83+Q83</f>
        <v>766810.07900000003</v>
      </c>
      <c r="S83" s="25">
        <f>S87+S89+S90+S91+S92+S93+S95+S97+S98+S99+S101+S103+S104+S107+S88+S100+S102+S125+S118+S119+S120+S122+S123+S121+S126+S124</f>
        <v>6230.9400000000005</v>
      </c>
      <c r="T83" s="23">
        <f t="shared" ref="T83:T104" si="103">R83+S83</f>
        <v>773041.01899999997</v>
      </c>
      <c r="U83" s="25">
        <f>U87+U89+U90+U91+U92+U93+U95+U97+U98+U99+U101+U103+U104+U107+U88+U100+U102+U125+U118+U119+U120+U122+U123+U121+U126+U124</f>
        <v>0</v>
      </c>
      <c r="V83" s="23">
        <f t="shared" ref="V83:V104" si="104">T83+U83</f>
        <v>773041.01899999997</v>
      </c>
      <c r="W83" s="25">
        <f>W87+W89+W90+W91+W92+W93+W95+W97+W98+W99+W101+W103+W104+W107+W88+W100+W102+W125+W118+W119+W120+W122+W123+W121+W126+W124+W94+W96</f>
        <v>3361.4300000000003</v>
      </c>
      <c r="X83" s="23">
        <f t="shared" ref="X83:X104" si="105">V83+W83</f>
        <v>776402.44900000002</v>
      </c>
      <c r="Y83" s="26">
        <f>Y87+Y89+Y90+Y91+Y92+Y93+Y95+Y97+Y98+Y99+Y101+Y103+Y104+Y107+Y88+Y100+Y102+Y125+Y118+Y119+Y120+Y122+Y123+Y121+Y126+Y124+Y94+Y96</f>
        <v>1607.2920000000004</v>
      </c>
      <c r="Z83" s="23">
        <f t="shared" ref="Z83:Z104" si="106">X83+Y83</f>
        <v>778009.74100000004</v>
      </c>
      <c r="AA83" s="16"/>
      <c r="AB83" s="6">
        <v>0</v>
      </c>
    </row>
    <row r="84" spans="1:29" x14ac:dyDescent="0.3">
      <c r="A84" s="74"/>
      <c r="B84" s="71" t="s">
        <v>16</v>
      </c>
      <c r="C84" s="72"/>
      <c r="D84" s="23">
        <f>D108+D113+D116</f>
        <v>567516.5</v>
      </c>
      <c r="E84" s="23">
        <f>E108+E113+E116</f>
        <v>-683.3</v>
      </c>
      <c r="F84" s="23">
        <f t="shared" si="0"/>
        <v>566833.19999999995</v>
      </c>
      <c r="G84" s="23">
        <f>G108+G113+G116</f>
        <v>0</v>
      </c>
      <c r="H84" s="23">
        <f t="shared" si="97"/>
        <v>566833.19999999995</v>
      </c>
      <c r="I84" s="23">
        <f>I108+I113+I116</f>
        <v>0</v>
      </c>
      <c r="J84" s="23">
        <f t="shared" si="98"/>
        <v>566833.19999999995</v>
      </c>
      <c r="K84" s="23">
        <f>K108+K113+K116</f>
        <v>0</v>
      </c>
      <c r="L84" s="23">
        <f t="shared" si="99"/>
        <v>566833.19999999995</v>
      </c>
      <c r="M84" s="23">
        <f>M108+M113+M116</f>
        <v>0</v>
      </c>
      <c r="N84" s="23">
        <f t="shared" si="100"/>
        <v>566833.19999999995</v>
      </c>
      <c r="O84" s="23">
        <f>O108+O113+O116</f>
        <v>194038.59600000002</v>
      </c>
      <c r="P84" s="23">
        <f t="shared" si="101"/>
        <v>760871.79599999997</v>
      </c>
      <c r="Q84" s="23">
        <f>Q108+Q113+Q116</f>
        <v>0</v>
      </c>
      <c r="R84" s="23">
        <f t="shared" si="102"/>
        <v>760871.79599999997</v>
      </c>
      <c r="S84" s="23">
        <f>S108+S113+S116</f>
        <v>0</v>
      </c>
      <c r="T84" s="23">
        <f t="shared" si="103"/>
        <v>760871.79599999997</v>
      </c>
      <c r="U84" s="23">
        <f>U108+U113+U116</f>
        <v>0</v>
      </c>
      <c r="V84" s="23">
        <f t="shared" si="104"/>
        <v>760871.79599999997</v>
      </c>
      <c r="W84" s="23">
        <f>W108+W113+W116</f>
        <v>0</v>
      </c>
      <c r="X84" s="23">
        <f t="shared" si="105"/>
        <v>760871.79599999997</v>
      </c>
      <c r="Y84" s="24">
        <f>Y108+Y113+Y116</f>
        <v>0</v>
      </c>
      <c r="Z84" s="70">
        <f t="shared" si="106"/>
        <v>760871.79599999997</v>
      </c>
    </row>
    <row r="85" spans="1:29" x14ac:dyDescent="0.3">
      <c r="A85" s="64"/>
      <c r="B85" s="73" t="s">
        <v>20</v>
      </c>
      <c r="C85" s="72"/>
      <c r="D85" s="23"/>
      <c r="E85" s="23">
        <f>E109+E117</f>
        <v>131739.79999999999</v>
      </c>
      <c r="F85" s="23">
        <f t="shared" si="0"/>
        <v>131739.79999999999</v>
      </c>
      <c r="G85" s="23">
        <f>G109+G117</f>
        <v>0</v>
      </c>
      <c r="H85" s="23">
        <f t="shared" si="97"/>
        <v>131739.79999999999</v>
      </c>
      <c r="I85" s="23">
        <f>I109+I117</f>
        <v>0</v>
      </c>
      <c r="J85" s="23">
        <f t="shared" si="98"/>
        <v>131739.79999999999</v>
      </c>
      <c r="K85" s="23">
        <f>K109+K117</f>
        <v>0</v>
      </c>
      <c r="L85" s="23">
        <f t="shared" si="99"/>
        <v>131739.79999999999</v>
      </c>
      <c r="M85" s="23">
        <f>M109+M117</f>
        <v>0</v>
      </c>
      <c r="N85" s="23">
        <f t="shared" si="100"/>
        <v>131739.79999999999</v>
      </c>
      <c r="O85" s="23">
        <f>O109+O117</f>
        <v>0</v>
      </c>
      <c r="P85" s="23">
        <f t="shared" si="101"/>
        <v>131739.79999999999</v>
      </c>
      <c r="Q85" s="23">
        <f>Q109+Q117</f>
        <v>0</v>
      </c>
      <c r="R85" s="23">
        <f t="shared" si="102"/>
        <v>131739.79999999999</v>
      </c>
      <c r="S85" s="23">
        <f>S109+S117</f>
        <v>0</v>
      </c>
      <c r="T85" s="23">
        <f t="shared" si="103"/>
        <v>131739.79999999999</v>
      </c>
      <c r="U85" s="23">
        <f>U109+U117</f>
        <v>0</v>
      </c>
      <c r="V85" s="23">
        <f t="shared" si="104"/>
        <v>131739.79999999999</v>
      </c>
      <c r="W85" s="23">
        <f>W109+W117</f>
        <v>0</v>
      </c>
      <c r="X85" s="23">
        <f t="shared" si="105"/>
        <v>131739.79999999999</v>
      </c>
      <c r="Y85" s="24">
        <f>Y109+Y117</f>
        <v>0</v>
      </c>
      <c r="Z85" s="70">
        <f t="shared" si="106"/>
        <v>131739.79999999999</v>
      </c>
    </row>
    <row r="86" spans="1:29" ht="36" x14ac:dyDescent="0.3">
      <c r="A86" s="64"/>
      <c r="B86" s="73" t="s">
        <v>261</v>
      </c>
      <c r="C86" s="75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>
        <f>O110</f>
        <v>1177740.0319999999</v>
      </c>
      <c r="P86" s="23">
        <f t="shared" si="101"/>
        <v>1177740.0319999999</v>
      </c>
      <c r="Q86" s="23">
        <f>Q110</f>
        <v>0</v>
      </c>
      <c r="R86" s="23">
        <f t="shared" si="102"/>
        <v>1177740.0319999999</v>
      </c>
      <c r="S86" s="23">
        <f>S110</f>
        <v>0</v>
      </c>
      <c r="T86" s="23">
        <f t="shared" si="103"/>
        <v>1177740.0319999999</v>
      </c>
      <c r="U86" s="23">
        <f>U110</f>
        <v>0</v>
      </c>
      <c r="V86" s="23">
        <f t="shared" si="104"/>
        <v>1177740.0319999999</v>
      </c>
      <c r="W86" s="23">
        <f>W110</f>
        <v>0</v>
      </c>
      <c r="X86" s="23">
        <f t="shared" si="105"/>
        <v>1177740.0319999999</v>
      </c>
      <c r="Y86" s="24">
        <f>Y110</f>
        <v>-352757.74599999998</v>
      </c>
      <c r="Z86" s="70">
        <f t="shared" si="106"/>
        <v>824982.28599999985</v>
      </c>
    </row>
    <row r="87" spans="1:29" s="2" customFormat="1" ht="54" hidden="1" x14ac:dyDescent="0.3">
      <c r="A87" s="108" t="s">
        <v>123</v>
      </c>
      <c r="B87" s="128" t="s">
        <v>46</v>
      </c>
      <c r="C87" s="35" t="s">
        <v>45</v>
      </c>
      <c r="D87" s="23">
        <v>79002.5</v>
      </c>
      <c r="E87" s="23">
        <v>-49000</v>
      </c>
      <c r="F87" s="23">
        <f t="shared" si="0"/>
        <v>30002.5</v>
      </c>
      <c r="G87" s="23"/>
      <c r="H87" s="23">
        <f t="shared" si="97"/>
        <v>30002.5</v>
      </c>
      <c r="I87" s="23"/>
      <c r="J87" s="23">
        <f t="shared" si="98"/>
        <v>30002.5</v>
      </c>
      <c r="K87" s="23">
        <v>-29206.92</v>
      </c>
      <c r="L87" s="23">
        <f t="shared" si="99"/>
        <v>795.58000000000175</v>
      </c>
      <c r="M87" s="23"/>
      <c r="N87" s="23">
        <f t="shared" si="100"/>
        <v>795.58000000000175</v>
      </c>
      <c r="O87" s="23">
        <v>-795.58</v>
      </c>
      <c r="P87" s="23">
        <f t="shared" si="101"/>
        <v>1.7053025658242404E-12</v>
      </c>
      <c r="Q87" s="23"/>
      <c r="R87" s="23">
        <f t="shared" si="102"/>
        <v>1.7053025658242404E-12</v>
      </c>
      <c r="S87" s="23"/>
      <c r="T87" s="23">
        <f t="shared" si="103"/>
        <v>1.7053025658242404E-12</v>
      </c>
      <c r="U87" s="23"/>
      <c r="V87" s="23">
        <f t="shared" si="104"/>
        <v>1.7053025658242404E-12</v>
      </c>
      <c r="W87" s="23"/>
      <c r="X87" s="23">
        <f t="shared" si="105"/>
        <v>1.7053025658242404E-12</v>
      </c>
      <c r="Y87" s="24"/>
      <c r="Z87" s="23">
        <f t="shared" si="106"/>
        <v>1.7053025658242404E-12</v>
      </c>
      <c r="AA87" s="16">
        <v>1710141130</v>
      </c>
      <c r="AB87" s="6">
        <v>0</v>
      </c>
    </row>
    <row r="88" spans="1:29" ht="72" x14ac:dyDescent="0.3">
      <c r="A88" s="109"/>
      <c r="B88" s="129"/>
      <c r="C88" s="75" t="s">
        <v>213</v>
      </c>
      <c r="D88" s="23"/>
      <c r="E88" s="23"/>
      <c r="F88" s="23"/>
      <c r="G88" s="23">
        <v>7955.8180000000002</v>
      </c>
      <c r="H88" s="23">
        <f t="shared" si="97"/>
        <v>7955.8180000000002</v>
      </c>
      <c r="I88" s="23"/>
      <c r="J88" s="23">
        <f t="shared" si="98"/>
        <v>7955.8180000000002</v>
      </c>
      <c r="K88" s="23"/>
      <c r="L88" s="23">
        <f t="shared" si="99"/>
        <v>7955.8180000000002</v>
      </c>
      <c r="M88" s="23"/>
      <c r="N88" s="23">
        <f t="shared" si="100"/>
        <v>7955.8180000000002</v>
      </c>
      <c r="O88" s="23">
        <v>795.58</v>
      </c>
      <c r="P88" s="23">
        <f t="shared" si="101"/>
        <v>8751.398000000001</v>
      </c>
      <c r="Q88" s="23"/>
      <c r="R88" s="23">
        <f t="shared" si="102"/>
        <v>8751.398000000001</v>
      </c>
      <c r="S88" s="23"/>
      <c r="T88" s="23">
        <f t="shared" si="103"/>
        <v>8751.398000000001</v>
      </c>
      <c r="U88" s="23"/>
      <c r="V88" s="23">
        <f t="shared" si="104"/>
        <v>8751.398000000001</v>
      </c>
      <c r="W88" s="23"/>
      <c r="X88" s="23">
        <f t="shared" si="105"/>
        <v>8751.398000000001</v>
      </c>
      <c r="Y88" s="24"/>
      <c r="Z88" s="70">
        <f t="shared" si="106"/>
        <v>8751.398000000001</v>
      </c>
      <c r="AA88" s="16">
        <v>1710141130</v>
      </c>
    </row>
    <row r="89" spans="1:29" s="2" customFormat="1" ht="54" hidden="1" x14ac:dyDescent="0.3">
      <c r="A89" s="38" t="s">
        <v>121</v>
      </c>
      <c r="B89" s="36" t="s">
        <v>47</v>
      </c>
      <c r="C89" s="18" t="s">
        <v>45</v>
      </c>
      <c r="D89" s="23">
        <v>13479.7</v>
      </c>
      <c r="E89" s="23">
        <v>-13479.7</v>
      </c>
      <c r="F89" s="23">
        <f t="shared" si="0"/>
        <v>0</v>
      </c>
      <c r="G89" s="23"/>
      <c r="H89" s="23">
        <f t="shared" si="97"/>
        <v>0</v>
      </c>
      <c r="I89" s="23"/>
      <c r="J89" s="23">
        <f t="shared" si="98"/>
        <v>0</v>
      </c>
      <c r="K89" s="23"/>
      <c r="L89" s="23">
        <f t="shared" si="99"/>
        <v>0</v>
      </c>
      <c r="M89" s="23"/>
      <c r="N89" s="23">
        <f t="shared" si="100"/>
        <v>0</v>
      </c>
      <c r="O89" s="23"/>
      <c r="P89" s="23">
        <f t="shared" si="101"/>
        <v>0</v>
      </c>
      <c r="Q89" s="23"/>
      <c r="R89" s="23">
        <f t="shared" si="102"/>
        <v>0</v>
      </c>
      <c r="S89" s="23"/>
      <c r="T89" s="23">
        <f t="shared" si="103"/>
        <v>0</v>
      </c>
      <c r="U89" s="23"/>
      <c r="V89" s="23">
        <f t="shared" si="104"/>
        <v>0</v>
      </c>
      <c r="W89" s="23"/>
      <c r="X89" s="23">
        <f t="shared" si="105"/>
        <v>0</v>
      </c>
      <c r="Y89" s="24"/>
      <c r="Z89" s="23">
        <f t="shared" si="106"/>
        <v>0</v>
      </c>
      <c r="AA89" s="16">
        <v>1710141220</v>
      </c>
      <c r="AB89" s="6">
        <v>0</v>
      </c>
    </row>
    <row r="90" spans="1:29" s="2" customFormat="1" ht="54" hidden="1" x14ac:dyDescent="0.3">
      <c r="A90" s="1" t="s">
        <v>122</v>
      </c>
      <c r="B90" s="4" t="s">
        <v>48</v>
      </c>
      <c r="C90" s="18" t="s">
        <v>45</v>
      </c>
      <c r="D90" s="23">
        <v>9847.7000000000007</v>
      </c>
      <c r="E90" s="23">
        <v>-9847.7000000000007</v>
      </c>
      <c r="F90" s="23">
        <f t="shared" si="0"/>
        <v>0</v>
      </c>
      <c r="G90" s="23"/>
      <c r="H90" s="23">
        <f t="shared" si="97"/>
        <v>0</v>
      </c>
      <c r="I90" s="23"/>
      <c r="J90" s="23">
        <f t="shared" si="98"/>
        <v>0</v>
      </c>
      <c r="K90" s="23"/>
      <c r="L90" s="23">
        <f t="shared" si="99"/>
        <v>0</v>
      </c>
      <c r="M90" s="23"/>
      <c r="N90" s="23">
        <f t="shared" si="100"/>
        <v>0</v>
      </c>
      <c r="O90" s="23"/>
      <c r="P90" s="23">
        <f t="shared" si="101"/>
        <v>0</v>
      </c>
      <c r="Q90" s="23"/>
      <c r="R90" s="23">
        <f t="shared" si="102"/>
        <v>0</v>
      </c>
      <c r="S90" s="23"/>
      <c r="T90" s="23">
        <f t="shared" si="103"/>
        <v>0</v>
      </c>
      <c r="U90" s="23"/>
      <c r="V90" s="23">
        <f t="shared" si="104"/>
        <v>0</v>
      </c>
      <c r="W90" s="23"/>
      <c r="X90" s="23">
        <f t="shared" si="105"/>
        <v>0</v>
      </c>
      <c r="Y90" s="24"/>
      <c r="Z90" s="23">
        <f t="shared" si="106"/>
        <v>0</v>
      </c>
      <c r="AA90" s="16">
        <v>1710141320</v>
      </c>
      <c r="AB90" s="6">
        <v>0</v>
      </c>
    </row>
    <row r="91" spans="1:29" s="2" customFormat="1" ht="54" hidden="1" x14ac:dyDescent="0.3">
      <c r="A91" s="1" t="s">
        <v>123</v>
      </c>
      <c r="B91" s="4" t="s">
        <v>49</v>
      </c>
      <c r="C91" s="18" t="s">
        <v>45</v>
      </c>
      <c r="D91" s="23">
        <v>37555.4</v>
      </c>
      <c r="E91" s="23">
        <v>-37555.4</v>
      </c>
      <c r="F91" s="23">
        <f t="shared" si="0"/>
        <v>0</v>
      </c>
      <c r="G91" s="23"/>
      <c r="H91" s="23">
        <f t="shared" si="97"/>
        <v>0</v>
      </c>
      <c r="I91" s="23"/>
      <c r="J91" s="23">
        <f t="shared" si="98"/>
        <v>0</v>
      </c>
      <c r="K91" s="23"/>
      <c r="L91" s="23">
        <f t="shared" si="99"/>
        <v>0</v>
      </c>
      <c r="M91" s="23"/>
      <c r="N91" s="23">
        <f t="shared" si="100"/>
        <v>0</v>
      </c>
      <c r="O91" s="23"/>
      <c r="P91" s="23">
        <f t="shared" si="101"/>
        <v>0</v>
      </c>
      <c r="Q91" s="23"/>
      <c r="R91" s="23">
        <f t="shared" si="102"/>
        <v>0</v>
      </c>
      <c r="S91" s="23"/>
      <c r="T91" s="23">
        <f t="shared" si="103"/>
        <v>0</v>
      </c>
      <c r="U91" s="23"/>
      <c r="V91" s="23">
        <f t="shared" si="104"/>
        <v>0</v>
      </c>
      <c r="W91" s="23"/>
      <c r="X91" s="23">
        <f t="shared" si="105"/>
        <v>0</v>
      </c>
      <c r="Y91" s="24"/>
      <c r="Z91" s="23">
        <f t="shared" si="106"/>
        <v>0</v>
      </c>
      <c r="AA91" s="16">
        <v>1710142260</v>
      </c>
      <c r="AB91" s="6">
        <v>0</v>
      </c>
    </row>
    <row r="92" spans="1:29" s="2" customFormat="1" ht="54" hidden="1" x14ac:dyDescent="0.3">
      <c r="A92" s="1" t="s">
        <v>124</v>
      </c>
      <c r="B92" s="4" t="s">
        <v>50</v>
      </c>
      <c r="C92" s="18" t="s">
        <v>45</v>
      </c>
      <c r="D92" s="28">
        <v>2840</v>
      </c>
      <c r="E92" s="23">
        <v>-2840</v>
      </c>
      <c r="F92" s="23">
        <f t="shared" si="0"/>
        <v>0</v>
      </c>
      <c r="G92" s="23"/>
      <c r="H92" s="23">
        <f t="shared" si="97"/>
        <v>0</v>
      </c>
      <c r="I92" s="23"/>
      <c r="J92" s="23">
        <f t="shared" si="98"/>
        <v>0</v>
      </c>
      <c r="K92" s="23"/>
      <c r="L92" s="23">
        <f t="shared" si="99"/>
        <v>0</v>
      </c>
      <c r="M92" s="23"/>
      <c r="N92" s="23">
        <f t="shared" si="100"/>
        <v>0</v>
      </c>
      <c r="O92" s="23"/>
      <c r="P92" s="23">
        <f t="shared" si="101"/>
        <v>0</v>
      </c>
      <c r="Q92" s="23"/>
      <c r="R92" s="23">
        <f t="shared" si="102"/>
        <v>0</v>
      </c>
      <c r="S92" s="23"/>
      <c r="T92" s="23">
        <f t="shared" si="103"/>
        <v>0</v>
      </c>
      <c r="U92" s="23"/>
      <c r="V92" s="23">
        <f t="shared" si="104"/>
        <v>0</v>
      </c>
      <c r="W92" s="23"/>
      <c r="X92" s="23">
        <f t="shared" si="105"/>
        <v>0</v>
      </c>
      <c r="Y92" s="24"/>
      <c r="Z92" s="23">
        <f t="shared" si="106"/>
        <v>0</v>
      </c>
      <c r="AA92" s="16">
        <v>1710142330</v>
      </c>
      <c r="AB92" s="6">
        <v>0</v>
      </c>
    </row>
    <row r="93" spans="1:29" s="2" customFormat="1" ht="54" hidden="1" x14ac:dyDescent="0.3">
      <c r="A93" s="1" t="s">
        <v>124</v>
      </c>
      <c r="B93" s="4" t="s">
        <v>51</v>
      </c>
      <c r="C93" s="51" t="s">
        <v>45</v>
      </c>
      <c r="D93" s="28">
        <v>58</v>
      </c>
      <c r="E93" s="23"/>
      <c r="F93" s="23">
        <f t="shared" si="0"/>
        <v>58</v>
      </c>
      <c r="G93" s="23"/>
      <c r="H93" s="23">
        <f t="shared" si="97"/>
        <v>58</v>
      </c>
      <c r="I93" s="23"/>
      <c r="J93" s="23">
        <f t="shared" si="98"/>
        <v>58</v>
      </c>
      <c r="K93" s="23"/>
      <c r="L93" s="23">
        <f t="shared" si="99"/>
        <v>58</v>
      </c>
      <c r="M93" s="23"/>
      <c r="N93" s="23">
        <f t="shared" si="100"/>
        <v>58</v>
      </c>
      <c r="O93" s="23"/>
      <c r="P93" s="23">
        <f t="shared" si="101"/>
        <v>58</v>
      </c>
      <c r="Q93" s="23"/>
      <c r="R93" s="23">
        <f t="shared" si="102"/>
        <v>58</v>
      </c>
      <c r="S93" s="23"/>
      <c r="T93" s="23">
        <f t="shared" si="103"/>
        <v>58</v>
      </c>
      <c r="U93" s="23"/>
      <c r="V93" s="23">
        <f t="shared" si="104"/>
        <v>58</v>
      </c>
      <c r="W93" s="23"/>
      <c r="X93" s="23">
        <f t="shared" si="105"/>
        <v>58</v>
      </c>
      <c r="Y93" s="24">
        <v>-58</v>
      </c>
      <c r="Z93" s="23">
        <f t="shared" si="106"/>
        <v>0</v>
      </c>
      <c r="AA93" s="16">
        <v>1710142340</v>
      </c>
      <c r="AB93" s="6">
        <v>0</v>
      </c>
    </row>
    <row r="94" spans="1:29" ht="54" x14ac:dyDescent="0.3">
      <c r="A94" s="64" t="s">
        <v>124</v>
      </c>
      <c r="B94" s="73" t="s">
        <v>51</v>
      </c>
      <c r="C94" s="72" t="s">
        <v>45</v>
      </c>
      <c r="D94" s="28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4">
        <f t="shared" si="105"/>
        <v>0</v>
      </c>
      <c r="Y94" s="24">
        <v>58</v>
      </c>
      <c r="Z94" s="70">
        <f t="shared" si="106"/>
        <v>58</v>
      </c>
      <c r="AA94" s="16">
        <v>1710142340</v>
      </c>
    </row>
    <row r="95" spans="1:29" s="2" customFormat="1" ht="54" hidden="1" x14ac:dyDescent="0.3">
      <c r="A95" s="1" t="s">
        <v>125</v>
      </c>
      <c r="B95" s="4" t="s">
        <v>52</v>
      </c>
      <c r="C95" s="51" t="s">
        <v>45</v>
      </c>
      <c r="D95" s="28">
        <v>433</v>
      </c>
      <c r="E95" s="23"/>
      <c r="F95" s="23">
        <f t="shared" si="0"/>
        <v>433</v>
      </c>
      <c r="G95" s="23"/>
      <c r="H95" s="23">
        <f t="shared" si="97"/>
        <v>433</v>
      </c>
      <c r="I95" s="23"/>
      <c r="J95" s="23">
        <f t="shared" si="98"/>
        <v>433</v>
      </c>
      <c r="K95" s="23"/>
      <c r="L95" s="23">
        <f t="shared" si="99"/>
        <v>433</v>
      </c>
      <c r="M95" s="23"/>
      <c r="N95" s="23">
        <f t="shared" si="100"/>
        <v>433</v>
      </c>
      <c r="O95" s="23"/>
      <c r="P95" s="23">
        <f t="shared" si="101"/>
        <v>433</v>
      </c>
      <c r="Q95" s="23"/>
      <c r="R95" s="23">
        <f t="shared" si="102"/>
        <v>433</v>
      </c>
      <c r="S95" s="23"/>
      <c r="T95" s="23">
        <f t="shared" si="103"/>
        <v>433</v>
      </c>
      <c r="U95" s="23"/>
      <c r="V95" s="23">
        <f t="shared" si="104"/>
        <v>433</v>
      </c>
      <c r="W95" s="23"/>
      <c r="X95" s="23">
        <f t="shared" si="105"/>
        <v>433</v>
      </c>
      <c r="Y95" s="24">
        <v>-433</v>
      </c>
      <c r="Z95" s="23">
        <f t="shared" si="106"/>
        <v>0</v>
      </c>
      <c r="AA95" s="16">
        <v>1710142350</v>
      </c>
      <c r="AB95" s="6">
        <v>0</v>
      </c>
    </row>
    <row r="96" spans="1:29" ht="54" x14ac:dyDescent="0.3">
      <c r="A96" s="64" t="s">
        <v>125</v>
      </c>
      <c r="B96" s="73" t="s">
        <v>52</v>
      </c>
      <c r="C96" s="72" t="s">
        <v>45</v>
      </c>
      <c r="D96" s="28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4">
        <f t="shared" si="105"/>
        <v>0</v>
      </c>
      <c r="Y96" s="24">
        <v>433</v>
      </c>
      <c r="Z96" s="70">
        <f t="shared" si="106"/>
        <v>433</v>
      </c>
      <c r="AA96" s="16">
        <v>1710142350</v>
      </c>
    </row>
    <row r="97" spans="1:28" s="2" customFormat="1" ht="54" hidden="1" x14ac:dyDescent="0.3">
      <c r="A97" s="1" t="s">
        <v>126</v>
      </c>
      <c r="B97" s="4" t="s">
        <v>53</v>
      </c>
      <c r="C97" s="18" t="s">
        <v>45</v>
      </c>
      <c r="D97" s="28">
        <v>2500</v>
      </c>
      <c r="E97" s="23">
        <v>-2500</v>
      </c>
      <c r="F97" s="23">
        <f t="shared" si="0"/>
        <v>0</v>
      </c>
      <c r="G97" s="23"/>
      <c r="H97" s="23">
        <f t="shared" si="97"/>
        <v>0</v>
      </c>
      <c r="I97" s="23"/>
      <c r="J97" s="23">
        <f t="shared" si="98"/>
        <v>0</v>
      </c>
      <c r="K97" s="23"/>
      <c r="L97" s="23">
        <f t="shared" si="99"/>
        <v>0</v>
      </c>
      <c r="M97" s="23"/>
      <c r="N97" s="23">
        <f t="shared" si="100"/>
        <v>0</v>
      </c>
      <c r="O97" s="23"/>
      <c r="P97" s="23">
        <f t="shared" si="101"/>
        <v>0</v>
      </c>
      <c r="Q97" s="23"/>
      <c r="R97" s="23">
        <f t="shared" si="102"/>
        <v>0</v>
      </c>
      <c r="S97" s="23"/>
      <c r="T97" s="23">
        <f t="shared" si="103"/>
        <v>0</v>
      </c>
      <c r="U97" s="23"/>
      <c r="V97" s="23">
        <f t="shared" si="104"/>
        <v>0</v>
      </c>
      <c r="W97" s="23"/>
      <c r="X97" s="23">
        <f t="shared" si="105"/>
        <v>0</v>
      </c>
      <c r="Y97" s="24"/>
      <c r="Z97" s="23">
        <f t="shared" si="106"/>
        <v>0</v>
      </c>
      <c r="AA97" s="16">
        <v>1710142360</v>
      </c>
      <c r="AB97" s="6">
        <v>0</v>
      </c>
    </row>
    <row r="98" spans="1:28" s="2" customFormat="1" ht="54" hidden="1" x14ac:dyDescent="0.3">
      <c r="A98" s="33" t="s">
        <v>127</v>
      </c>
      <c r="B98" s="9" t="s">
        <v>54</v>
      </c>
      <c r="C98" s="18" t="s">
        <v>45</v>
      </c>
      <c r="D98" s="28">
        <v>6803</v>
      </c>
      <c r="E98" s="23">
        <v>-6803</v>
      </c>
      <c r="F98" s="23">
        <f t="shared" si="0"/>
        <v>0</v>
      </c>
      <c r="G98" s="23"/>
      <c r="H98" s="23">
        <f t="shared" si="97"/>
        <v>0</v>
      </c>
      <c r="I98" s="23"/>
      <c r="J98" s="23">
        <f t="shared" si="98"/>
        <v>0</v>
      </c>
      <c r="K98" s="23"/>
      <c r="L98" s="23">
        <f t="shared" si="99"/>
        <v>0</v>
      </c>
      <c r="M98" s="23"/>
      <c r="N98" s="23">
        <f t="shared" si="100"/>
        <v>0</v>
      </c>
      <c r="O98" s="23"/>
      <c r="P98" s="23">
        <f t="shared" si="101"/>
        <v>0</v>
      </c>
      <c r="Q98" s="23"/>
      <c r="R98" s="23">
        <f t="shared" si="102"/>
        <v>0</v>
      </c>
      <c r="S98" s="23"/>
      <c r="T98" s="23">
        <f t="shared" si="103"/>
        <v>0</v>
      </c>
      <c r="U98" s="23"/>
      <c r="V98" s="23">
        <f t="shared" si="104"/>
        <v>0</v>
      </c>
      <c r="W98" s="23"/>
      <c r="X98" s="23">
        <f t="shared" si="105"/>
        <v>0</v>
      </c>
      <c r="Y98" s="24"/>
      <c r="Z98" s="23">
        <f t="shared" si="106"/>
        <v>0</v>
      </c>
      <c r="AA98" s="16">
        <v>1710142370</v>
      </c>
      <c r="AB98" s="6">
        <v>0</v>
      </c>
    </row>
    <row r="99" spans="1:28" ht="54" x14ac:dyDescent="0.3">
      <c r="A99" s="74" t="s">
        <v>126</v>
      </c>
      <c r="B99" s="76" t="s">
        <v>55</v>
      </c>
      <c r="C99" s="75" t="s">
        <v>45</v>
      </c>
      <c r="D99" s="28">
        <v>14238</v>
      </c>
      <c r="E99" s="23"/>
      <c r="F99" s="23">
        <f t="shared" si="0"/>
        <v>14238</v>
      </c>
      <c r="G99" s="23"/>
      <c r="H99" s="23">
        <f t="shared" si="97"/>
        <v>14238</v>
      </c>
      <c r="I99" s="23"/>
      <c r="J99" s="23">
        <f t="shared" si="98"/>
        <v>14238</v>
      </c>
      <c r="K99" s="23">
        <v>15000</v>
      </c>
      <c r="L99" s="23">
        <f t="shared" si="99"/>
        <v>29238</v>
      </c>
      <c r="M99" s="23">
        <v>-15000</v>
      </c>
      <c r="N99" s="23">
        <f t="shared" si="100"/>
        <v>14238</v>
      </c>
      <c r="O99" s="23">
        <v>-387.5</v>
      </c>
      <c r="P99" s="23">
        <f t="shared" si="101"/>
        <v>13850.5</v>
      </c>
      <c r="Q99" s="23"/>
      <c r="R99" s="23">
        <f t="shared" si="102"/>
        <v>13850.5</v>
      </c>
      <c r="S99" s="23">
        <f>1795.757-8667.8</f>
        <v>-6872.0429999999997</v>
      </c>
      <c r="T99" s="23">
        <f t="shared" si="103"/>
        <v>6978.4570000000003</v>
      </c>
      <c r="U99" s="23"/>
      <c r="V99" s="23">
        <f t="shared" si="104"/>
        <v>6978.4570000000003</v>
      </c>
      <c r="W99" s="23">
        <v>-1795.7570000000001</v>
      </c>
      <c r="X99" s="24">
        <f t="shared" si="105"/>
        <v>5182.7000000000007</v>
      </c>
      <c r="Y99" s="24">
        <f>-96.132+96.132</f>
        <v>0</v>
      </c>
      <c r="Z99" s="70">
        <f t="shared" si="106"/>
        <v>5182.7000000000007</v>
      </c>
      <c r="AA99" s="16">
        <v>1710241100</v>
      </c>
    </row>
    <row r="100" spans="1:28" ht="72" x14ac:dyDescent="0.3">
      <c r="A100" s="77"/>
      <c r="B100" s="78"/>
      <c r="C100" s="75" t="s">
        <v>213</v>
      </c>
      <c r="D100" s="28"/>
      <c r="E100" s="23"/>
      <c r="F100" s="23"/>
      <c r="G100" s="23">
        <v>19592.187000000002</v>
      </c>
      <c r="H100" s="23">
        <f t="shared" si="97"/>
        <v>19592.187000000002</v>
      </c>
      <c r="I100" s="23"/>
      <c r="J100" s="23">
        <f t="shared" si="98"/>
        <v>19592.187000000002</v>
      </c>
      <c r="K100" s="23"/>
      <c r="L100" s="23">
        <f t="shared" si="99"/>
        <v>19592.187000000002</v>
      </c>
      <c r="M100" s="23"/>
      <c r="N100" s="23">
        <f t="shared" si="100"/>
        <v>19592.187000000002</v>
      </c>
      <c r="O100" s="23"/>
      <c r="P100" s="23">
        <f t="shared" si="101"/>
        <v>19592.187000000002</v>
      </c>
      <c r="Q100" s="23"/>
      <c r="R100" s="23">
        <f t="shared" si="102"/>
        <v>19592.187000000002</v>
      </c>
      <c r="S100" s="23">
        <v>-1795.7570000000001</v>
      </c>
      <c r="T100" s="23">
        <f t="shared" si="103"/>
        <v>17796.43</v>
      </c>
      <c r="U100" s="23"/>
      <c r="V100" s="23">
        <f t="shared" si="104"/>
        <v>17796.43</v>
      </c>
      <c r="W100" s="23"/>
      <c r="X100" s="23">
        <f t="shared" si="105"/>
        <v>17796.43</v>
      </c>
      <c r="Y100" s="24">
        <v>-3006.4679999999998</v>
      </c>
      <c r="Z100" s="70">
        <f t="shared" si="106"/>
        <v>14789.962</v>
      </c>
      <c r="AA100" s="16">
        <v>1710241100</v>
      </c>
    </row>
    <row r="101" spans="1:28" ht="54" x14ac:dyDescent="0.3">
      <c r="A101" s="79" t="s">
        <v>127</v>
      </c>
      <c r="B101" s="71" t="s">
        <v>281</v>
      </c>
      <c r="C101" s="75" t="s">
        <v>45</v>
      </c>
      <c r="D101" s="28">
        <v>39292.9</v>
      </c>
      <c r="E101" s="23"/>
      <c r="F101" s="23">
        <f t="shared" si="0"/>
        <v>39292.9</v>
      </c>
      <c r="G101" s="23">
        <v>15000</v>
      </c>
      <c r="H101" s="23">
        <f t="shared" si="97"/>
        <v>54292.9</v>
      </c>
      <c r="I101" s="23"/>
      <c r="J101" s="23">
        <f t="shared" si="98"/>
        <v>54292.9</v>
      </c>
      <c r="K101" s="23"/>
      <c r="L101" s="23">
        <f t="shared" si="99"/>
        <v>54292.9</v>
      </c>
      <c r="M101" s="23"/>
      <c r="N101" s="23">
        <f t="shared" si="100"/>
        <v>54292.9</v>
      </c>
      <c r="O101" s="23"/>
      <c r="P101" s="23">
        <f t="shared" si="101"/>
        <v>54292.9</v>
      </c>
      <c r="Q101" s="23"/>
      <c r="R101" s="23">
        <f t="shared" si="102"/>
        <v>54292.9</v>
      </c>
      <c r="S101" s="23"/>
      <c r="T101" s="23">
        <f t="shared" si="103"/>
        <v>54292.9</v>
      </c>
      <c r="U101" s="23"/>
      <c r="V101" s="23">
        <f t="shared" si="104"/>
        <v>54292.9</v>
      </c>
      <c r="W101" s="23">
        <v>14615.137000000001</v>
      </c>
      <c r="X101" s="23">
        <f t="shared" si="105"/>
        <v>68908.036999999997</v>
      </c>
      <c r="Y101" s="24">
        <v>-146.4</v>
      </c>
      <c r="Z101" s="70">
        <f t="shared" si="106"/>
        <v>68761.637000000002</v>
      </c>
      <c r="AA101" s="16">
        <v>1710441240</v>
      </c>
    </row>
    <row r="102" spans="1:28" ht="72" x14ac:dyDescent="0.3">
      <c r="A102" s="80"/>
      <c r="B102" s="81"/>
      <c r="C102" s="75" t="s">
        <v>213</v>
      </c>
      <c r="D102" s="28"/>
      <c r="E102" s="23"/>
      <c r="F102" s="23"/>
      <c r="G102" s="23">
        <v>702.95799999999997</v>
      </c>
      <c r="H102" s="23">
        <f t="shared" si="97"/>
        <v>702.95799999999997</v>
      </c>
      <c r="I102" s="23"/>
      <c r="J102" s="23">
        <f t="shared" si="98"/>
        <v>702.95799999999997</v>
      </c>
      <c r="K102" s="23"/>
      <c r="L102" s="23">
        <f t="shared" si="99"/>
        <v>702.95799999999997</v>
      </c>
      <c r="M102" s="23"/>
      <c r="N102" s="23">
        <f t="shared" si="100"/>
        <v>702.95799999999997</v>
      </c>
      <c r="O102" s="23"/>
      <c r="P102" s="23">
        <f t="shared" si="101"/>
        <v>702.95799999999997</v>
      </c>
      <c r="Q102" s="23"/>
      <c r="R102" s="23">
        <f t="shared" si="102"/>
        <v>702.95799999999997</v>
      </c>
      <c r="S102" s="23"/>
      <c r="T102" s="23">
        <f t="shared" si="103"/>
        <v>702.95799999999997</v>
      </c>
      <c r="U102" s="23"/>
      <c r="V102" s="23">
        <f t="shared" si="104"/>
        <v>702.95799999999997</v>
      </c>
      <c r="W102" s="23"/>
      <c r="X102" s="23">
        <f t="shared" si="105"/>
        <v>702.95799999999997</v>
      </c>
      <c r="Y102" s="24">
        <v>146.4</v>
      </c>
      <c r="Z102" s="70">
        <f t="shared" si="106"/>
        <v>849.35799999999995</v>
      </c>
      <c r="AA102" s="16">
        <v>1710441240</v>
      </c>
    </row>
    <row r="103" spans="1:28" s="2" customFormat="1" ht="54" hidden="1" x14ac:dyDescent="0.3">
      <c r="A103" s="38" t="s">
        <v>130</v>
      </c>
      <c r="B103" s="36" t="s">
        <v>168</v>
      </c>
      <c r="C103" s="18" t="s">
        <v>45</v>
      </c>
      <c r="D103" s="28">
        <v>2799.2</v>
      </c>
      <c r="E103" s="23">
        <v>-2799.2</v>
      </c>
      <c r="F103" s="23">
        <f t="shared" si="0"/>
        <v>0</v>
      </c>
      <c r="G103" s="23"/>
      <c r="H103" s="23">
        <f t="shared" si="97"/>
        <v>0</v>
      </c>
      <c r="I103" s="23"/>
      <c r="J103" s="23">
        <f t="shared" si="98"/>
        <v>0</v>
      </c>
      <c r="K103" s="23"/>
      <c r="L103" s="23">
        <f t="shared" si="99"/>
        <v>0</v>
      </c>
      <c r="M103" s="23"/>
      <c r="N103" s="23">
        <f t="shared" si="100"/>
        <v>0</v>
      </c>
      <c r="O103" s="23"/>
      <c r="P103" s="23">
        <f t="shared" si="101"/>
        <v>0</v>
      </c>
      <c r="Q103" s="23"/>
      <c r="R103" s="23">
        <f t="shared" si="102"/>
        <v>0</v>
      </c>
      <c r="S103" s="23"/>
      <c r="T103" s="23">
        <f t="shared" si="103"/>
        <v>0</v>
      </c>
      <c r="U103" s="23"/>
      <c r="V103" s="23">
        <f t="shared" si="104"/>
        <v>0</v>
      </c>
      <c r="W103" s="23"/>
      <c r="X103" s="23">
        <f t="shared" si="105"/>
        <v>0</v>
      </c>
      <c r="Y103" s="24"/>
      <c r="Z103" s="23">
        <f t="shared" si="106"/>
        <v>0</v>
      </c>
      <c r="AA103" s="16">
        <v>1710442380</v>
      </c>
      <c r="AB103" s="6">
        <v>0</v>
      </c>
    </row>
    <row r="104" spans="1:28" s="2" customFormat="1" ht="54" hidden="1" x14ac:dyDescent="0.3">
      <c r="A104" s="1" t="s">
        <v>131</v>
      </c>
      <c r="B104" s="4" t="s">
        <v>162</v>
      </c>
      <c r="C104" s="21" t="s">
        <v>45</v>
      </c>
      <c r="D104" s="28">
        <v>5000</v>
      </c>
      <c r="E104" s="23">
        <v>-5000</v>
      </c>
      <c r="F104" s="23">
        <f t="shared" si="0"/>
        <v>0</v>
      </c>
      <c r="G104" s="23"/>
      <c r="H104" s="23">
        <f t="shared" si="97"/>
        <v>0</v>
      </c>
      <c r="I104" s="23"/>
      <c r="J104" s="23">
        <f t="shared" si="98"/>
        <v>0</v>
      </c>
      <c r="K104" s="23"/>
      <c r="L104" s="23">
        <f t="shared" si="99"/>
        <v>0</v>
      </c>
      <c r="M104" s="23"/>
      <c r="N104" s="23">
        <f t="shared" si="100"/>
        <v>0</v>
      </c>
      <c r="O104" s="23"/>
      <c r="P104" s="23">
        <f t="shared" si="101"/>
        <v>0</v>
      </c>
      <c r="Q104" s="23"/>
      <c r="R104" s="23">
        <f t="shared" si="102"/>
        <v>0</v>
      </c>
      <c r="S104" s="23"/>
      <c r="T104" s="23">
        <f t="shared" si="103"/>
        <v>0</v>
      </c>
      <c r="U104" s="23"/>
      <c r="V104" s="23">
        <f t="shared" si="104"/>
        <v>0</v>
      </c>
      <c r="W104" s="23"/>
      <c r="X104" s="23">
        <f t="shared" si="105"/>
        <v>0</v>
      </c>
      <c r="Y104" s="24"/>
      <c r="Z104" s="23">
        <f t="shared" si="106"/>
        <v>0</v>
      </c>
      <c r="AA104" s="16">
        <v>1760142410</v>
      </c>
      <c r="AB104" s="6">
        <v>0</v>
      </c>
    </row>
    <row r="105" spans="1:28" ht="54" x14ac:dyDescent="0.3">
      <c r="A105" s="64" t="s">
        <v>128</v>
      </c>
      <c r="B105" s="73" t="s">
        <v>77</v>
      </c>
      <c r="C105" s="72" t="s">
        <v>12</v>
      </c>
      <c r="D105" s="28">
        <f>D107+D108</f>
        <v>1006877.2000000001</v>
      </c>
      <c r="E105" s="23">
        <f>E107+E108+E109</f>
        <v>0</v>
      </c>
      <c r="F105" s="23">
        <f>D105+E105</f>
        <v>1006877.2000000001</v>
      </c>
      <c r="G105" s="23">
        <f>G107+G108+G109</f>
        <v>0</v>
      </c>
      <c r="H105" s="23">
        <f>F105+G105</f>
        <v>1006877.2000000001</v>
      </c>
      <c r="I105" s="23">
        <f>I107+I108+I109</f>
        <v>0</v>
      </c>
      <c r="J105" s="23">
        <f>H105+I105</f>
        <v>1006877.2000000001</v>
      </c>
      <c r="K105" s="23">
        <f>K107+K108+K109</f>
        <v>0</v>
      </c>
      <c r="L105" s="23">
        <f>J105+K105</f>
        <v>1006877.2000000001</v>
      </c>
      <c r="M105" s="23">
        <f>M107+M108+M109</f>
        <v>0</v>
      </c>
      <c r="N105" s="23">
        <f>L105+M105</f>
        <v>1006877.2000000001</v>
      </c>
      <c r="O105" s="23">
        <f>O107+O108+O109+O110</f>
        <v>1414443.6209999998</v>
      </c>
      <c r="P105" s="23">
        <f>N105+O105</f>
        <v>2421320.821</v>
      </c>
      <c r="Q105" s="23">
        <f>Q107+Q108+Q109+Q110</f>
        <v>0</v>
      </c>
      <c r="R105" s="23">
        <f>P105+Q105</f>
        <v>2421320.821</v>
      </c>
      <c r="S105" s="23">
        <f>S107+S108+S109+S110</f>
        <v>14874.74</v>
      </c>
      <c r="T105" s="23">
        <f>R105+S105</f>
        <v>2436195.5610000002</v>
      </c>
      <c r="U105" s="23">
        <f>U107+U108+U109+U110</f>
        <v>0</v>
      </c>
      <c r="V105" s="23">
        <f>T105+U105</f>
        <v>2436195.5610000002</v>
      </c>
      <c r="W105" s="23">
        <f>W107+W108+W109+W110</f>
        <v>-107.95</v>
      </c>
      <c r="X105" s="23">
        <f>V105+W105</f>
        <v>2436087.611</v>
      </c>
      <c r="Y105" s="24">
        <f>Y107+Y108+Y109+Y110</f>
        <v>-348143.98599999998</v>
      </c>
      <c r="Z105" s="70">
        <f>X105+Y105</f>
        <v>2087943.625</v>
      </c>
    </row>
    <row r="106" spans="1:28" x14ac:dyDescent="0.3">
      <c r="A106" s="64"/>
      <c r="B106" s="73" t="s">
        <v>2</v>
      </c>
      <c r="C106" s="72"/>
      <c r="D106" s="28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4"/>
      <c r="Z106" s="70"/>
    </row>
    <row r="107" spans="1:28" s="2" customFormat="1" hidden="1" x14ac:dyDescent="0.3">
      <c r="A107" s="1"/>
      <c r="B107" s="4" t="s">
        <v>3</v>
      </c>
      <c r="C107" s="21"/>
      <c r="D107" s="28">
        <v>606216.80000000005</v>
      </c>
      <c r="E107" s="23"/>
      <c r="F107" s="23">
        <f>D107+E107</f>
        <v>606216.80000000005</v>
      </c>
      <c r="G107" s="23"/>
      <c r="H107" s="23">
        <f>F107+G107</f>
        <v>606216.80000000005</v>
      </c>
      <c r="I107" s="23"/>
      <c r="J107" s="23">
        <f>H107+I107</f>
        <v>606216.80000000005</v>
      </c>
      <c r="K107" s="23"/>
      <c r="L107" s="23">
        <f>J107+K107</f>
        <v>606216.80000000005</v>
      </c>
      <c r="M107" s="23"/>
      <c r="N107" s="23">
        <f>L107+M107</f>
        <v>606216.80000000005</v>
      </c>
      <c r="O107" s="23">
        <f>-95591.1-157382.403+109364.44+186274.056</f>
        <v>42664.993000000017</v>
      </c>
      <c r="P107" s="23">
        <f>N107+O107</f>
        <v>648881.79300000006</v>
      </c>
      <c r="Q107" s="23"/>
      <c r="R107" s="23">
        <f>P107+Q107</f>
        <v>648881.79300000006</v>
      </c>
      <c r="S107" s="23">
        <f>-125.26+15000</f>
        <v>14874.74</v>
      </c>
      <c r="T107" s="23">
        <f>R107+S107</f>
        <v>663756.53300000005</v>
      </c>
      <c r="U107" s="23"/>
      <c r="V107" s="23">
        <f>T107+U107</f>
        <v>663756.53300000005</v>
      </c>
      <c r="W107" s="23">
        <v>-107.95</v>
      </c>
      <c r="X107" s="23">
        <f>V107+W107</f>
        <v>663648.5830000001</v>
      </c>
      <c r="Y107" s="24">
        <v>4613.76</v>
      </c>
      <c r="Z107" s="23">
        <f>X107+Y107</f>
        <v>668262.34300000011</v>
      </c>
      <c r="AA107" s="16" t="s">
        <v>263</v>
      </c>
      <c r="AB107" s="6">
        <v>0</v>
      </c>
    </row>
    <row r="108" spans="1:28" x14ac:dyDescent="0.3">
      <c r="A108" s="64"/>
      <c r="B108" s="73" t="s">
        <v>16</v>
      </c>
      <c r="C108" s="72"/>
      <c r="D108" s="28">
        <v>400660.4</v>
      </c>
      <c r="E108" s="23"/>
      <c r="F108" s="23">
        <f t="shared" si="0"/>
        <v>400660.4</v>
      </c>
      <c r="G108" s="23"/>
      <c r="H108" s="23">
        <f t="shared" ref="H108:H111" si="107">F108+G108</f>
        <v>400660.4</v>
      </c>
      <c r="I108" s="23"/>
      <c r="J108" s="23">
        <f t="shared" ref="J108:J111" si="108">H108+I108</f>
        <v>400660.4</v>
      </c>
      <c r="K108" s="23"/>
      <c r="L108" s="23">
        <f t="shared" ref="L108:L111" si="109">J108+K108</f>
        <v>400660.4</v>
      </c>
      <c r="M108" s="23"/>
      <c r="N108" s="23">
        <f t="shared" ref="N108:N111" si="110">L108+M108</f>
        <v>400660.4</v>
      </c>
      <c r="O108" s="23">
        <f>7764.54+186274.056</f>
        <v>194038.59600000002</v>
      </c>
      <c r="P108" s="23">
        <f t="shared" ref="P108:P111" si="111">N108+O108</f>
        <v>594698.99600000004</v>
      </c>
      <c r="Q108" s="23"/>
      <c r="R108" s="23">
        <f t="shared" ref="R108:R109" si="112">P108+Q108</f>
        <v>594698.99600000004</v>
      </c>
      <c r="S108" s="23"/>
      <c r="T108" s="23">
        <f t="shared" ref="T108:T109" si="113">R108+S108</f>
        <v>594698.99600000004</v>
      </c>
      <c r="U108" s="23"/>
      <c r="V108" s="23">
        <f t="shared" ref="V108:V109" si="114">T108+U108</f>
        <v>594698.99600000004</v>
      </c>
      <c r="W108" s="23"/>
      <c r="X108" s="23">
        <f t="shared" ref="X108:X109" si="115">V108+W108</f>
        <v>594698.99600000004</v>
      </c>
      <c r="Y108" s="24"/>
      <c r="Z108" s="70">
        <f t="shared" ref="Z108:Z109" si="116">X108+Y108</f>
        <v>594698.99600000004</v>
      </c>
      <c r="AA108" s="16" t="s">
        <v>262</v>
      </c>
    </row>
    <row r="109" spans="1:28" s="2" customFormat="1" hidden="1" x14ac:dyDescent="0.3">
      <c r="A109" s="1"/>
      <c r="B109" s="4" t="s">
        <v>20</v>
      </c>
      <c r="C109" s="21"/>
      <c r="D109" s="28">
        <v>0</v>
      </c>
      <c r="E109" s="23">
        <v>0</v>
      </c>
      <c r="F109" s="23">
        <f t="shared" si="0"/>
        <v>0</v>
      </c>
      <c r="G109" s="23">
        <v>0</v>
      </c>
      <c r="H109" s="23">
        <f t="shared" si="107"/>
        <v>0</v>
      </c>
      <c r="I109" s="23">
        <v>0</v>
      </c>
      <c r="J109" s="23">
        <f t="shared" si="108"/>
        <v>0</v>
      </c>
      <c r="K109" s="23">
        <v>0</v>
      </c>
      <c r="L109" s="23">
        <f t="shared" si="109"/>
        <v>0</v>
      </c>
      <c r="M109" s="23">
        <v>0</v>
      </c>
      <c r="N109" s="23">
        <f t="shared" si="110"/>
        <v>0</v>
      </c>
      <c r="O109" s="23">
        <v>0</v>
      </c>
      <c r="P109" s="23">
        <f t="shared" si="111"/>
        <v>0</v>
      </c>
      <c r="Q109" s="23"/>
      <c r="R109" s="23">
        <f t="shared" si="112"/>
        <v>0</v>
      </c>
      <c r="S109" s="23"/>
      <c r="T109" s="23">
        <f t="shared" si="113"/>
        <v>0</v>
      </c>
      <c r="U109" s="23"/>
      <c r="V109" s="23">
        <f t="shared" si="114"/>
        <v>0</v>
      </c>
      <c r="W109" s="23"/>
      <c r="X109" s="23">
        <f t="shared" si="115"/>
        <v>0</v>
      </c>
      <c r="Y109" s="24"/>
      <c r="Z109" s="23">
        <f t="shared" si="116"/>
        <v>0</v>
      </c>
      <c r="AA109" s="16" t="s">
        <v>175</v>
      </c>
      <c r="AB109" s="6">
        <v>0</v>
      </c>
    </row>
    <row r="110" spans="1:28" ht="36" x14ac:dyDescent="0.3">
      <c r="A110" s="64"/>
      <c r="B110" s="73" t="s">
        <v>261</v>
      </c>
      <c r="C110" s="72"/>
      <c r="D110" s="28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>
        <v>1177740.0319999999</v>
      </c>
      <c r="P110" s="23">
        <f>N110+O110</f>
        <v>1177740.0319999999</v>
      </c>
      <c r="Q110" s="23"/>
      <c r="R110" s="23">
        <f>P110+Q110</f>
        <v>1177740.0319999999</v>
      </c>
      <c r="S110" s="23"/>
      <c r="T110" s="23">
        <f>R110+S110</f>
        <v>1177740.0319999999</v>
      </c>
      <c r="U110" s="23"/>
      <c r="V110" s="23">
        <f>T110+U110</f>
        <v>1177740.0319999999</v>
      </c>
      <c r="W110" s="23"/>
      <c r="X110" s="23">
        <f>V110+W110</f>
        <v>1177740.0319999999</v>
      </c>
      <c r="Y110" s="24">
        <f>-508290.845+155533.099</f>
        <v>-352757.74599999998</v>
      </c>
      <c r="Z110" s="70">
        <f>X110+Y110</f>
        <v>824982.28599999985</v>
      </c>
      <c r="AA110" s="16" t="s">
        <v>299</v>
      </c>
    </row>
    <row r="111" spans="1:28" ht="127.5" customHeight="1" x14ac:dyDescent="0.3">
      <c r="A111" s="64" t="s">
        <v>129</v>
      </c>
      <c r="B111" s="73" t="s">
        <v>78</v>
      </c>
      <c r="C111" s="72" t="s">
        <v>12</v>
      </c>
      <c r="D111" s="28">
        <f>D113</f>
        <v>118383.2</v>
      </c>
      <c r="E111" s="23">
        <f>E113</f>
        <v>-936</v>
      </c>
      <c r="F111" s="23">
        <f t="shared" si="0"/>
        <v>117447.2</v>
      </c>
      <c r="G111" s="23">
        <f>G113</f>
        <v>0</v>
      </c>
      <c r="H111" s="23">
        <f t="shared" si="107"/>
        <v>117447.2</v>
      </c>
      <c r="I111" s="23">
        <f>I113</f>
        <v>0</v>
      </c>
      <c r="J111" s="23">
        <f t="shared" si="108"/>
        <v>117447.2</v>
      </c>
      <c r="K111" s="23">
        <f>K113</f>
        <v>0</v>
      </c>
      <c r="L111" s="23">
        <f t="shared" si="109"/>
        <v>117447.2</v>
      </c>
      <c r="M111" s="23">
        <f>M113</f>
        <v>0</v>
      </c>
      <c r="N111" s="23">
        <f t="shared" si="110"/>
        <v>117447.2</v>
      </c>
      <c r="O111" s="23">
        <f>O113</f>
        <v>0</v>
      </c>
      <c r="P111" s="23">
        <f t="shared" si="111"/>
        <v>117447.2</v>
      </c>
      <c r="Q111" s="23">
        <f>Q113</f>
        <v>0</v>
      </c>
      <c r="R111" s="23">
        <f t="shared" ref="R111" si="117">P111+Q111</f>
        <v>117447.2</v>
      </c>
      <c r="S111" s="23">
        <f>S113</f>
        <v>0</v>
      </c>
      <c r="T111" s="23">
        <f t="shared" ref="T111" si="118">R111+S111</f>
        <v>117447.2</v>
      </c>
      <c r="U111" s="23">
        <f>U113</f>
        <v>0</v>
      </c>
      <c r="V111" s="23">
        <f t="shared" ref="V111" si="119">T111+U111</f>
        <v>117447.2</v>
      </c>
      <c r="W111" s="23">
        <f>W113</f>
        <v>0</v>
      </c>
      <c r="X111" s="23">
        <f t="shared" ref="X111" si="120">V111+W111</f>
        <v>117447.2</v>
      </c>
      <c r="Y111" s="24">
        <f>Y113</f>
        <v>0</v>
      </c>
      <c r="Z111" s="70">
        <f t="shared" ref="Z111" si="121">X111+Y111</f>
        <v>117447.2</v>
      </c>
    </row>
    <row r="112" spans="1:28" x14ac:dyDescent="0.3">
      <c r="A112" s="64"/>
      <c r="B112" s="73" t="s">
        <v>2</v>
      </c>
      <c r="C112" s="72"/>
      <c r="D112" s="28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4"/>
      <c r="Z112" s="70"/>
    </row>
    <row r="113" spans="1:29" x14ac:dyDescent="0.3">
      <c r="A113" s="64"/>
      <c r="B113" s="73" t="s">
        <v>16</v>
      </c>
      <c r="C113" s="72"/>
      <c r="D113" s="28">
        <v>118383.2</v>
      </c>
      <c r="E113" s="23">
        <v>-936</v>
      </c>
      <c r="F113" s="23">
        <f t="shared" si="0"/>
        <v>117447.2</v>
      </c>
      <c r="G113" s="23"/>
      <c r="H113" s="23">
        <f t="shared" ref="H113:H114" si="122">F113+G113</f>
        <v>117447.2</v>
      </c>
      <c r="I113" s="23"/>
      <c r="J113" s="23">
        <f t="shared" ref="J113:J114" si="123">H113+I113</f>
        <v>117447.2</v>
      </c>
      <c r="K113" s="23"/>
      <c r="L113" s="23">
        <f t="shared" ref="L113:L114" si="124">J113+K113</f>
        <v>117447.2</v>
      </c>
      <c r="M113" s="23"/>
      <c r="N113" s="23">
        <f t="shared" ref="N113:N114" si="125">L113+M113</f>
        <v>117447.2</v>
      </c>
      <c r="O113" s="23"/>
      <c r="P113" s="23">
        <f t="shared" ref="P113:P114" si="126">N113+O113</f>
        <v>117447.2</v>
      </c>
      <c r="Q113" s="23"/>
      <c r="R113" s="23">
        <f t="shared" ref="R113:R114" si="127">P113+Q113</f>
        <v>117447.2</v>
      </c>
      <c r="S113" s="23"/>
      <c r="T113" s="23">
        <f t="shared" ref="T113:T114" si="128">R113+S113</f>
        <v>117447.2</v>
      </c>
      <c r="U113" s="23"/>
      <c r="V113" s="23">
        <f t="shared" ref="V113:V114" si="129">T113+U113</f>
        <v>117447.2</v>
      </c>
      <c r="W113" s="23"/>
      <c r="X113" s="23">
        <f t="shared" ref="X113:X114" si="130">V113+W113</f>
        <v>117447.2</v>
      </c>
      <c r="Y113" s="24"/>
      <c r="Z113" s="70">
        <f t="shared" ref="Z113:Z114" si="131">X113+Y113</f>
        <v>117447.2</v>
      </c>
      <c r="AA113" s="16" t="s">
        <v>79</v>
      </c>
    </row>
    <row r="114" spans="1:29" ht="68.25" customHeight="1" x14ac:dyDescent="0.3">
      <c r="A114" s="64" t="s">
        <v>130</v>
      </c>
      <c r="B114" s="73" t="s">
        <v>80</v>
      </c>
      <c r="C114" s="72" t="s">
        <v>12</v>
      </c>
      <c r="D114" s="28">
        <f>D116</f>
        <v>48472.9</v>
      </c>
      <c r="E114" s="23">
        <f>E116+E117</f>
        <v>131992.5</v>
      </c>
      <c r="F114" s="23">
        <f t="shared" si="0"/>
        <v>180465.4</v>
      </c>
      <c r="G114" s="23">
        <f>G116+G117</f>
        <v>0</v>
      </c>
      <c r="H114" s="23">
        <f t="shared" si="122"/>
        <v>180465.4</v>
      </c>
      <c r="I114" s="23">
        <f>I116+I117</f>
        <v>0</v>
      </c>
      <c r="J114" s="23">
        <f t="shared" si="123"/>
        <v>180465.4</v>
      </c>
      <c r="K114" s="23">
        <f>K116+K117</f>
        <v>0</v>
      </c>
      <c r="L114" s="23">
        <f t="shared" si="124"/>
        <v>180465.4</v>
      </c>
      <c r="M114" s="23">
        <f>M116+M117</f>
        <v>0</v>
      </c>
      <c r="N114" s="23">
        <f t="shared" si="125"/>
        <v>180465.4</v>
      </c>
      <c r="O114" s="23">
        <f>O116+O117</f>
        <v>0</v>
      </c>
      <c r="P114" s="23">
        <f t="shared" si="126"/>
        <v>180465.4</v>
      </c>
      <c r="Q114" s="23">
        <f>Q116+Q117</f>
        <v>0</v>
      </c>
      <c r="R114" s="23">
        <f t="shared" si="127"/>
        <v>180465.4</v>
      </c>
      <c r="S114" s="23">
        <f>S116+S117</f>
        <v>0</v>
      </c>
      <c r="T114" s="23">
        <f t="shared" si="128"/>
        <v>180465.4</v>
      </c>
      <c r="U114" s="23">
        <f>U116+U117</f>
        <v>0</v>
      </c>
      <c r="V114" s="23">
        <f t="shared" si="129"/>
        <v>180465.4</v>
      </c>
      <c r="W114" s="23">
        <f>W116+W117</f>
        <v>0</v>
      </c>
      <c r="X114" s="23">
        <f t="shared" si="130"/>
        <v>180465.4</v>
      </c>
      <c r="Y114" s="24">
        <f>Y116+Y117</f>
        <v>0</v>
      </c>
      <c r="Z114" s="70">
        <f t="shared" si="131"/>
        <v>180465.4</v>
      </c>
    </row>
    <row r="115" spans="1:29" x14ac:dyDescent="0.3">
      <c r="A115" s="64"/>
      <c r="B115" s="73" t="s">
        <v>2</v>
      </c>
      <c r="C115" s="72"/>
      <c r="D115" s="28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4"/>
      <c r="Z115" s="70"/>
    </row>
    <row r="116" spans="1:29" x14ac:dyDescent="0.3">
      <c r="A116" s="64"/>
      <c r="B116" s="73" t="s">
        <v>16</v>
      </c>
      <c r="C116" s="72"/>
      <c r="D116" s="28">
        <v>48472.9</v>
      </c>
      <c r="E116" s="23">
        <v>252.7</v>
      </c>
      <c r="F116" s="23">
        <f t="shared" si="0"/>
        <v>48725.599999999999</v>
      </c>
      <c r="G116" s="23"/>
      <c r="H116" s="23">
        <f t="shared" ref="H116:H127" si="132">F116+G116</f>
        <v>48725.599999999999</v>
      </c>
      <c r="I116" s="23"/>
      <c r="J116" s="23">
        <f t="shared" ref="J116:J127" si="133">H116+I116</f>
        <v>48725.599999999999</v>
      </c>
      <c r="K116" s="23"/>
      <c r="L116" s="23">
        <f t="shared" ref="L116:L127" si="134">J116+K116</f>
        <v>48725.599999999999</v>
      </c>
      <c r="M116" s="23"/>
      <c r="N116" s="23">
        <f t="shared" ref="N116:N127" si="135">L116+M116</f>
        <v>48725.599999999999</v>
      </c>
      <c r="O116" s="23"/>
      <c r="P116" s="23">
        <f t="shared" ref="P116:P127" si="136">N116+O116</f>
        <v>48725.599999999999</v>
      </c>
      <c r="Q116" s="23"/>
      <c r="R116" s="23">
        <f t="shared" ref="R116:R127" si="137">P116+Q116</f>
        <v>48725.599999999999</v>
      </c>
      <c r="S116" s="23"/>
      <c r="T116" s="23">
        <f t="shared" ref="T116:T127" si="138">R116+S116</f>
        <v>48725.599999999999</v>
      </c>
      <c r="U116" s="23"/>
      <c r="V116" s="23">
        <f t="shared" ref="V116:V127" si="139">T116+U116</f>
        <v>48725.599999999999</v>
      </c>
      <c r="W116" s="23"/>
      <c r="X116" s="23">
        <f t="shared" ref="X116:X127" si="140">V116+W116</f>
        <v>48725.599999999999</v>
      </c>
      <c r="Y116" s="24"/>
      <c r="Z116" s="70">
        <f t="shared" ref="Z116:Z127" si="141">X116+Y116</f>
        <v>48725.599999999999</v>
      </c>
      <c r="AA116" s="16" t="s">
        <v>81</v>
      </c>
    </row>
    <row r="117" spans="1:29" x14ac:dyDescent="0.3">
      <c r="A117" s="64"/>
      <c r="B117" s="73" t="s">
        <v>20</v>
      </c>
      <c r="C117" s="72"/>
      <c r="D117" s="28"/>
      <c r="E117" s="23">
        <v>131739.79999999999</v>
      </c>
      <c r="F117" s="23">
        <f t="shared" si="0"/>
        <v>131739.79999999999</v>
      </c>
      <c r="G117" s="23"/>
      <c r="H117" s="23">
        <f t="shared" si="132"/>
        <v>131739.79999999999</v>
      </c>
      <c r="I117" s="23"/>
      <c r="J117" s="23">
        <f t="shared" si="133"/>
        <v>131739.79999999999</v>
      </c>
      <c r="K117" s="23"/>
      <c r="L117" s="23">
        <f t="shared" si="134"/>
        <v>131739.79999999999</v>
      </c>
      <c r="M117" s="23"/>
      <c r="N117" s="23">
        <f t="shared" si="135"/>
        <v>131739.79999999999</v>
      </c>
      <c r="O117" s="23"/>
      <c r="P117" s="23">
        <f t="shared" si="136"/>
        <v>131739.79999999999</v>
      </c>
      <c r="Q117" s="23"/>
      <c r="R117" s="23">
        <f t="shared" si="137"/>
        <v>131739.79999999999</v>
      </c>
      <c r="S117" s="23"/>
      <c r="T117" s="23">
        <f t="shared" si="138"/>
        <v>131739.79999999999</v>
      </c>
      <c r="U117" s="23"/>
      <c r="V117" s="23">
        <f t="shared" si="139"/>
        <v>131739.79999999999</v>
      </c>
      <c r="W117" s="23"/>
      <c r="X117" s="23">
        <f t="shared" si="140"/>
        <v>131739.79999999999</v>
      </c>
      <c r="Y117" s="24"/>
      <c r="Z117" s="70">
        <f t="shared" si="141"/>
        <v>131739.79999999999</v>
      </c>
      <c r="AA117" s="16" t="s">
        <v>81</v>
      </c>
    </row>
    <row r="118" spans="1:29" ht="78" customHeight="1" x14ac:dyDescent="0.3">
      <c r="A118" s="64" t="s">
        <v>131</v>
      </c>
      <c r="B118" s="73" t="s">
        <v>214</v>
      </c>
      <c r="C118" s="75" t="s">
        <v>213</v>
      </c>
      <c r="D118" s="28"/>
      <c r="E118" s="23"/>
      <c r="F118" s="23"/>
      <c r="G118" s="23">
        <v>110.801</v>
      </c>
      <c r="H118" s="23">
        <f t="shared" si="132"/>
        <v>110.801</v>
      </c>
      <c r="I118" s="23"/>
      <c r="J118" s="23">
        <f t="shared" si="133"/>
        <v>110.801</v>
      </c>
      <c r="K118" s="23"/>
      <c r="L118" s="23">
        <f t="shared" si="134"/>
        <v>110.801</v>
      </c>
      <c r="M118" s="23"/>
      <c r="N118" s="23">
        <f t="shared" si="135"/>
        <v>110.801</v>
      </c>
      <c r="O118" s="23"/>
      <c r="P118" s="23">
        <f t="shared" si="136"/>
        <v>110.801</v>
      </c>
      <c r="Q118" s="23"/>
      <c r="R118" s="23">
        <f t="shared" si="137"/>
        <v>110.801</v>
      </c>
      <c r="S118" s="23"/>
      <c r="T118" s="23">
        <f t="shared" si="138"/>
        <v>110.801</v>
      </c>
      <c r="U118" s="23"/>
      <c r="V118" s="23">
        <f t="shared" si="139"/>
        <v>110.801</v>
      </c>
      <c r="W118" s="23"/>
      <c r="X118" s="23">
        <f t="shared" si="140"/>
        <v>110.801</v>
      </c>
      <c r="Y118" s="24"/>
      <c r="Z118" s="70">
        <f t="shared" si="141"/>
        <v>110.801</v>
      </c>
      <c r="AA118" s="16" t="s">
        <v>218</v>
      </c>
    </row>
    <row r="119" spans="1:29" ht="79.5" customHeight="1" x14ac:dyDescent="0.3">
      <c r="A119" s="64" t="s">
        <v>132</v>
      </c>
      <c r="B119" s="73" t="s">
        <v>215</v>
      </c>
      <c r="C119" s="75" t="s">
        <v>213</v>
      </c>
      <c r="D119" s="28"/>
      <c r="E119" s="23"/>
      <c r="F119" s="23"/>
      <c r="G119" s="23">
        <v>6000</v>
      </c>
      <c r="H119" s="23">
        <f t="shared" si="132"/>
        <v>6000</v>
      </c>
      <c r="I119" s="23"/>
      <c r="J119" s="23">
        <f t="shared" si="133"/>
        <v>6000</v>
      </c>
      <c r="K119" s="23"/>
      <c r="L119" s="23">
        <f t="shared" si="134"/>
        <v>6000</v>
      </c>
      <c r="M119" s="23"/>
      <c r="N119" s="23">
        <f t="shared" si="135"/>
        <v>6000</v>
      </c>
      <c r="O119" s="23"/>
      <c r="P119" s="23">
        <f t="shared" si="136"/>
        <v>6000</v>
      </c>
      <c r="Q119" s="23"/>
      <c r="R119" s="23">
        <f t="shared" si="137"/>
        <v>6000</v>
      </c>
      <c r="S119" s="23"/>
      <c r="T119" s="23">
        <f t="shared" si="138"/>
        <v>6000</v>
      </c>
      <c r="U119" s="23"/>
      <c r="V119" s="23">
        <f t="shared" si="139"/>
        <v>6000</v>
      </c>
      <c r="W119" s="23"/>
      <c r="X119" s="23">
        <f t="shared" si="140"/>
        <v>6000</v>
      </c>
      <c r="Y119" s="24"/>
      <c r="Z119" s="70">
        <f t="shared" si="141"/>
        <v>6000</v>
      </c>
      <c r="AA119" s="16" t="s">
        <v>219</v>
      </c>
    </row>
    <row r="120" spans="1:29" s="2" customFormat="1" ht="78" hidden="1" customHeight="1" x14ac:dyDescent="0.3">
      <c r="A120" s="1" t="s">
        <v>130</v>
      </c>
      <c r="B120" s="4" t="s">
        <v>216</v>
      </c>
      <c r="C120" s="35" t="s">
        <v>213</v>
      </c>
      <c r="D120" s="28"/>
      <c r="E120" s="23"/>
      <c r="F120" s="23"/>
      <c r="G120" s="23">
        <v>9350</v>
      </c>
      <c r="H120" s="23">
        <f t="shared" si="132"/>
        <v>9350</v>
      </c>
      <c r="I120" s="23"/>
      <c r="J120" s="23">
        <f t="shared" si="133"/>
        <v>9350</v>
      </c>
      <c r="K120" s="23"/>
      <c r="L120" s="23">
        <f t="shared" si="134"/>
        <v>9350</v>
      </c>
      <c r="M120" s="23"/>
      <c r="N120" s="23">
        <f t="shared" si="135"/>
        <v>9350</v>
      </c>
      <c r="O120" s="23">
        <v>-9350</v>
      </c>
      <c r="P120" s="23">
        <f t="shared" si="136"/>
        <v>0</v>
      </c>
      <c r="Q120" s="23"/>
      <c r="R120" s="23">
        <f t="shared" si="137"/>
        <v>0</v>
      </c>
      <c r="S120" s="23"/>
      <c r="T120" s="23">
        <f t="shared" si="138"/>
        <v>0</v>
      </c>
      <c r="U120" s="23"/>
      <c r="V120" s="23">
        <f t="shared" si="139"/>
        <v>0</v>
      </c>
      <c r="W120" s="23"/>
      <c r="X120" s="23">
        <f t="shared" si="140"/>
        <v>0</v>
      </c>
      <c r="Y120" s="24"/>
      <c r="Z120" s="23">
        <f t="shared" si="141"/>
        <v>0</v>
      </c>
      <c r="AA120" s="16" t="s">
        <v>220</v>
      </c>
      <c r="AB120" s="6">
        <v>0</v>
      </c>
    </row>
    <row r="121" spans="1:29" s="2" customFormat="1" ht="78" hidden="1" customHeight="1" x14ac:dyDescent="0.3">
      <c r="A121" s="1" t="s">
        <v>130</v>
      </c>
      <c r="B121" s="4" t="s">
        <v>216</v>
      </c>
      <c r="C121" s="46" t="s">
        <v>45</v>
      </c>
      <c r="D121" s="28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>
        <v>9350</v>
      </c>
      <c r="P121" s="23">
        <f t="shared" si="136"/>
        <v>9350</v>
      </c>
      <c r="Q121" s="23"/>
      <c r="R121" s="23">
        <f t="shared" si="137"/>
        <v>9350</v>
      </c>
      <c r="S121" s="23"/>
      <c r="T121" s="23">
        <f t="shared" si="138"/>
        <v>9350</v>
      </c>
      <c r="U121" s="23"/>
      <c r="V121" s="23">
        <f t="shared" si="139"/>
        <v>9350</v>
      </c>
      <c r="W121" s="23">
        <v>-9350</v>
      </c>
      <c r="X121" s="23">
        <f t="shared" si="140"/>
        <v>0</v>
      </c>
      <c r="Y121" s="24"/>
      <c r="Z121" s="23">
        <f t="shared" si="141"/>
        <v>0</v>
      </c>
      <c r="AA121" s="16" t="s">
        <v>220</v>
      </c>
      <c r="AB121" s="6">
        <v>0</v>
      </c>
    </row>
    <row r="122" spans="1:29" ht="79.5" customHeight="1" x14ac:dyDescent="0.3">
      <c r="A122" s="74" t="s">
        <v>133</v>
      </c>
      <c r="B122" s="71" t="s">
        <v>217</v>
      </c>
      <c r="C122" s="75" t="s">
        <v>213</v>
      </c>
      <c r="D122" s="28"/>
      <c r="E122" s="23"/>
      <c r="F122" s="23"/>
      <c r="G122" s="23">
        <v>2284.5</v>
      </c>
      <c r="H122" s="23">
        <f t="shared" si="132"/>
        <v>2284.5</v>
      </c>
      <c r="I122" s="23"/>
      <c r="J122" s="23">
        <f t="shared" si="133"/>
        <v>2284.5</v>
      </c>
      <c r="K122" s="23"/>
      <c r="L122" s="23">
        <f t="shared" si="134"/>
        <v>2284.5</v>
      </c>
      <c r="M122" s="23"/>
      <c r="N122" s="23">
        <f t="shared" si="135"/>
        <v>2284.5</v>
      </c>
      <c r="O122" s="23"/>
      <c r="P122" s="23">
        <f t="shared" si="136"/>
        <v>2284.5</v>
      </c>
      <c r="Q122" s="23"/>
      <c r="R122" s="23">
        <f t="shared" si="137"/>
        <v>2284.5</v>
      </c>
      <c r="S122" s="23"/>
      <c r="T122" s="23">
        <f t="shared" si="138"/>
        <v>2284.5</v>
      </c>
      <c r="U122" s="23"/>
      <c r="V122" s="23">
        <f t="shared" si="139"/>
        <v>2284.5</v>
      </c>
      <c r="W122" s="23"/>
      <c r="X122" s="23">
        <f t="shared" si="140"/>
        <v>2284.5</v>
      </c>
      <c r="Y122" s="24"/>
      <c r="Z122" s="70">
        <f t="shared" si="141"/>
        <v>2284.5</v>
      </c>
      <c r="AA122" s="16" t="s">
        <v>221</v>
      </c>
    </row>
    <row r="123" spans="1:29" ht="82.5" customHeight="1" x14ac:dyDescent="0.3">
      <c r="A123" s="74" t="s">
        <v>134</v>
      </c>
      <c r="B123" s="71" t="s">
        <v>168</v>
      </c>
      <c r="C123" s="75" t="s">
        <v>213</v>
      </c>
      <c r="D123" s="28"/>
      <c r="E123" s="23"/>
      <c r="F123" s="23"/>
      <c r="G123" s="23">
        <v>1462.742</v>
      </c>
      <c r="H123" s="23">
        <f t="shared" si="132"/>
        <v>1462.742</v>
      </c>
      <c r="I123" s="23"/>
      <c r="J123" s="23">
        <f t="shared" si="133"/>
        <v>1462.742</v>
      </c>
      <c r="K123" s="23"/>
      <c r="L123" s="23">
        <f t="shared" si="134"/>
        <v>1462.742</v>
      </c>
      <c r="M123" s="23"/>
      <c r="N123" s="23">
        <f t="shared" si="135"/>
        <v>1462.742</v>
      </c>
      <c r="O123" s="23"/>
      <c r="P123" s="23">
        <f t="shared" si="136"/>
        <v>1462.742</v>
      </c>
      <c r="Q123" s="23"/>
      <c r="R123" s="23">
        <f t="shared" si="137"/>
        <v>1462.742</v>
      </c>
      <c r="S123" s="23"/>
      <c r="T123" s="23">
        <f t="shared" si="138"/>
        <v>1462.742</v>
      </c>
      <c r="U123" s="23"/>
      <c r="V123" s="23">
        <f t="shared" si="139"/>
        <v>1462.742</v>
      </c>
      <c r="W123" s="23"/>
      <c r="X123" s="23">
        <f t="shared" si="140"/>
        <v>1462.742</v>
      </c>
      <c r="Y123" s="24"/>
      <c r="Z123" s="70">
        <f t="shared" si="141"/>
        <v>1462.742</v>
      </c>
      <c r="AA123" s="16" t="s">
        <v>222</v>
      </c>
    </row>
    <row r="124" spans="1:29" ht="82.5" customHeight="1" x14ac:dyDescent="0.3">
      <c r="A124" s="82"/>
      <c r="B124" s="83"/>
      <c r="C124" s="72" t="s">
        <v>45</v>
      </c>
      <c r="D124" s="28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>
        <v>24</v>
      </c>
      <c r="T124" s="23">
        <f t="shared" si="138"/>
        <v>24</v>
      </c>
      <c r="U124" s="23"/>
      <c r="V124" s="23">
        <f t="shared" si="139"/>
        <v>24</v>
      </c>
      <c r="W124" s="23"/>
      <c r="X124" s="23">
        <f t="shared" si="140"/>
        <v>24</v>
      </c>
      <c r="Y124" s="24"/>
      <c r="Z124" s="70">
        <f t="shared" si="141"/>
        <v>24</v>
      </c>
      <c r="AA124" s="16" t="s">
        <v>222</v>
      </c>
    </row>
    <row r="125" spans="1:29" ht="72" x14ac:dyDescent="0.3">
      <c r="A125" s="82" t="s">
        <v>135</v>
      </c>
      <c r="B125" s="81" t="s">
        <v>48</v>
      </c>
      <c r="C125" s="84" t="s">
        <v>213</v>
      </c>
      <c r="D125" s="28"/>
      <c r="E125" s="23"/>
      <c r="F125" s="23"/>
      <c r="G125" s="23">
        <v>1039.3</v>
      </c>
      <c r="H125" s="23">
        <f t="shared" si="132"/>
        <v>1039.3</v>
      </c>
      <c r="I125" s="23"/>
      <c r="J125" s="23">
        <f t="shared" si="133"/>
        <v>1039.3</v>
      </c>
      <c r="K125" s="23"/>
      <c r="L125" s="23">
        <f t="shared" si="134"/>
        <v>1039.3</v>
      </c>
      <c r="M125" s="23"/>
      <c r="N125" s="23">
        <f t="shared" si="135"/>
        <v>1039.3</v>
      </c>
      <c r="O125" s="23"/>
      <c r="P125" s="23">
        <f t="shared" si="136"/>
        <v>1039.3</v>
      </c>
      <c r="Q125" s="23"/>
      <c r="R125" s="23">
        <f t="shared" si="137"/>
        <v>1039.3</v>
      </c>
      <c r="S125" s="23"/>
      <c r="T125" s="23">
        <f t="shared" si="138"/>
        <v>1039.3</v>
      </c>
      <c r="U125" s="23"/>
      <c r="V125" s="23">
        <f t="shared" si="139"/>
        <v>1039.3</v>
      </c>
      <c r="W125" s="23"/>
      <c r="X125" s="23">
        <f t="shared" si="140"/>
        <v>1039.3</v>
      </c>
      <c r="Y125" s="24"/>
      <c r="Z125" s="70">
        <f t="shared" si="141"/>
        <v>1039.3</v>
      </c>
      <c r="AA125" s="16" t="s">
        <v>223</v>
      </c>
    </row>
    <row r="126" spans="1:29" s="2" customFormat="1" ht="54" hidden="1" x14ac:dyDescent="0.3">
      <c r="A126" s="1" t="s">
        <v>134</v>
      </c>
      <c r="B126" s="4" t="s">
        <v>168</v>
      </c>
      <c r="C126" s="45" t="s">
        <v>45</v>
      </c>
      <c r="D126" s="28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>
        <f t="shared" si="138"/>
        <v>0</v>
      </c>
      <c r="U126" s="23"/>
      <c r="V126" s="23">
        <f t="shared" si="139"/>
        <v>0</v>
      </c>
      <c r="W126" s="23"/>
      <c r="X126" s="23">
        <f t="shared" si="140"/>
        <v>0</v>
      </c>
      <c r="Y126" s="24"/>
      <c r="Z126" s="23">
        <f t="shared" si="141"/>
        <v>0</v>
      </c>
      <c r="AA126" s="16" t="s">
        <v>222</v>
      </c>
      <c r="AB126" s="6">
        <v>0</v>
      </c>
    </row>
    <row r="127" spans="1:29" x14ac:dyDescent="0.3">
      <c r="A127" s="64"/>
      <c r="B127" s="73" t="s">
        <v>5</v>
      </c>
      <c r="C127" s="72"/>
      <c r="D127" s="22">
        <f>D129+D130</f>
        <v>336334.7</v>
      </c>
      <c r="E127" s="22">
        <f>E129+E130</f>
        <v>0</v>
      </c>
      <c r="F127" s="22">
        <f t="shared" ref="F127:F219" si="142">D127+E127</f>
        <v>336334.7</v>
      </c>
      <c r="G127" s="22">
        <f>G129+G130</f>
        <v>76484.06</v>
      </c>
      <c r="H127" s="22">
        <f t="shared" si="132"/>
        <v>412818.76</v>
      </c>
      <c r="I127" s="22">
        <f>I129+I130</f>
        <v>0</v>
      </c>
      <c r="J127" s="22">
        <f t="shared" si="133"/>
        <v>412818.76</v>
      </c>
      <c r="K127" s="22">
        <f>K129+K130</f>
        <v>0</v>
      </c>
      <c r="L127" s="22">
        <f t="shared" si="134"/>
        <v>412818.76</v>
      </c>
      <c r="M127" s="22">
        <f>M129+M130</f>
        <v>0</v>
      </c>
      <c r="N127" s="22">
        <f t="shared" si="135"/>
        <v>412818.76</v>
      </c>
      <c r="O127" s="22">
        <f>O129+O130</f>
        <v>15360.392</v>
      </c>
      <c r="P127" s="22">
        <f t="shared" si="136"/>
        <v>428179.152</v>
      </c>
      <c r="Q127" s="22">
        <f>Q129+Q130</f>
        <v>0</v>
      </c>
      <c r="R127" s="22">
        <f t="shared" si="137"/>
        <v>428179.152</v>
      </c>
      <c r="S127" s="22">
        <f>S129+S130</f>
        <v>23030.558999999997</v>
      </c>
      <c r="T127" s="22">
        <f t="shared" si="138"/>
        <v>451209.71100000001</v>
      </c>
      <c r="U127" s="22">
        <f>U129+U130</f>
        <v>0</v>
      </c>
      <c r="V127" s="22">
        <f t="shared" si="139"/>
        <v>451209.71100000001</v>
      </c>
      <c r="W127" s="22">
        <f>W129+W130</f>
        <v>-68589.142999999996</v>
      </c>
      <c r="X127" s="22">
        <f t="shared" si="140"/>
        <v>382620.56800000003</v>
      </c>
      <c r="Y127" s="22">
        <f>Y129+Y130</f>
        <v>-471.02800000000002</v>
      </c>
      <c r="Z127" s="70">
        <f t="shared" si="141"/>
        <v>382149.54000000004</v>
      </c>
      <c r="AA127" s="48"/>
      <c r="AB127" s="49"/>
      <c r="AC127" s="52"/>
    </row>
    <row r="128" spans="1:29" x14ac:dyDescent="0.3">
      <c r="A128" s="64"/>
      <c r="B128" s="73" t="s">
        <v>2</v>
      </c>
      <c r="C128" s="72"/>
      <c r="D128" s="28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4"/>
      <c r="Z128" s="70"/>
    </row>
    <row r="129" spans="1:28" s="2" customFormat="1" hidden="1" x14ac:dyDescent="0.35">
      <c r="A129" s="1"/>
      <c r="B129" s="4" t="s">
        <v>3</v>
      </c>
      <c r="C129" s="4"/>
      <c r="D129" s="29">
        <f>D131+D132+D133+D134+D135+D136+D137+D140+D142+D143</f>
        <v>201334.7</v>
      </c>
      <c r="E129" s="25">
        <f>E131+E132+E133+E134+E135+E136+E137+E140+E142+E143</f>
        <v>0</v>
      </c>
      <c r="F129" s="23">
        <f t="shared" si="142"/>
        <v>201334.7</v>
      </c>
      <c r="G129" s="25">
        <f>G131+G132+G133+G134+G135+G136+G137+G140+G142+G143+G144+G145+G146+G147</f>
        <v>76484.06</v>
      </c>
      <c r="H129" s="23">
        <f t="shared" ref="H129:H138" si="143">F129+G129</f>
        <v>277818.76</v>
      </c>
      <c r="I129" s="25">
        <f>I131+I132+I133+I134+I135+I136+I137+I140+I142+I143+I144+I145+I146+I147</f>
        <v>0</v>
      </c>
      <c r="J129" s="23">
        <f t="shared" ref="J129:J138" si="144">H129+I129</f>
        <v>277818.76</v>
      </c>
      <c r="K129" s="25">
        <f>K131+K132+K133+K134+K135+K136+K137+K140+K142+K143+K144+K145+K146+K147</f>
        <v>0</v>
      </c>
      <c r="L129" s="23">
        <f t="shared" ref="L129:L138" si="145">J129+K129</f>
        <v>277818.76</v>
      </c>
      <c r="M129" s="25">
        <f>M131+M132+M133+M134+M135+M136+M137+M140+M142+M143+M144+M145+M146+M147</f>
        <v>0</v>
      </c>
      <c r="N129" s="23">
        <f t="shared" ref="N129:N138" si="146">L129+M129</f>
        <v>277818.76</v>
      </c>
      <c r="O129" s="25">
        <f>O131+O132+O133+O134+O135+O136+O137+O140+O142+O143+O144+O145+O146+O147</f>
        <v>15360.392</v>
      </c>
      <c r="P129" s="23">
        <f t="shared" ref="P129:P138" si="147">N129+O129</f>
        <v>293179.152</v>
      </c>
      <c r="Q129" s="25">
        <f>Q131+Q132+Q133+Q134+Q135+Q136+Q137+Q140+Q142+Q143+Q144+Q145+Q146+Q147</f>
        <v>0</v>
      </c>
      <c r="R129" s="23">
        <f t="shared" ref="R129:R138" si="148">P129+Q129</f>
        <v>293179.152</v>
      </c>
      <c r="S129" s="25">
        <f>S131+S132+S133+S134+S135+S136+S137+S140+S142+S143+S144+S145+S146+S147</f>
        <v>23030.558999999997</v>
      </c>
      <c r="T129" s="23">
        <f t="shared" ref="T129:T138" si="149">R129+S129</f>
        <v>316209.71100000001</v>
      </c>
      <c r="U129" s="25">
        <f>U131+U132+U133+U134+U135+U136+U137+U140+U142+U143+U144+U145+U146+U147</f>
        <v>0</v>
      </c>
      <c r="V129" s="23">
        <f t="shared" ref="V129:V138" si="150">T129+U129</f>
        <v>316209.71100000001</v>
      </c>
      <c r="W129" s="25">
        <f>W131+W132+W133+W134+W135+W136+W137+W140+W142+W143+W144+W145+W146+W147</f>
        <v>-68589.142999999996</v>
      </c>
      <c r="X129" s="23">
        <f t="shared" ref="X129:X138" si="151">V129+W129</f>
        <v>247620.56800000003</v>
      </c>
      <c r="Y129" s="26">
        <f>Y131+Y132+Y133+Y134+Y135+Y136+Y137+Y140+Y142+Y143+Y144+Y145+Y146+Y147</f>
        <v>-471.02800000000002</v>
      </c>
      <c r="Z129" s="23">
        <f t="shared" ref="Z129:Z138" si="152">X129+Y129</f>
        <v>247149.54000000004</v>
      </c>
      <c r="AA129" s="16"/>
      <c r="AB129" s="6">
        <v>0</v>
      </c>
    </row>
    <row r="130" spans="1:28" x14ac:dyDescent="0.3">
      <c r="A130" s="64"/>
      <c r="B130" s="73" t="s">
        <v>16</v>
      </c>
      <c r="C130" s="73"/>
      <c r="D130" s="28">
        <f>D141</f>
        <v>135000</v>
      </c>
      <c r="E130" s="23">
        <f>E141</f>
        <v>0</v>
      </c>
      <c r="F130" s="23">
        <f t="shared" si="142"/>
        <v>135000</v>
      </c>
      <c r="G130" s="23">
        <f>G141</f>
        <v>0</v>
      </c>
      <c r="H130" s="23">
        <f t="shared" si="143"/>
        <v>135000</v>
      </c>
      <c r="I130" s="23">
        <f>I141</f>
        <v>0</v>
      </c>
      <c r="J130" s="23">
        <f t="shared" si="144"/>
        <v>135000</v>
      </c>
      <c r="K130" s="23">
        <f>K141</f>
        <v>0</v>
      </c>
      <c r="L130" s="23">
        <f t="shared" si="145"/>
        <v>135000</v>
      </c>
      <c r="M130" s="23">
        <f>M141</f>
        <v>0</v>
      </c>
      <c r="N130" s="23">
        <f t="shared" si="146"/>
        <v>135000</v>
      </c>
      <c r="O130" s="23">
        <f>O141</f>
        <v>0</v>
      </c>
      <c r="P130" s="23">
        <f t="shared" si="147"/>
        <v>135000</v>
      </c>
      <c r="Q130" s="23">
        <f>Q141</f>
        <v>0</v>
      </c>
      <c r="R130" s="23">
        <f t="shared" si="148"/>
        <v>135000</v>
      </c>
      <c r="S130" s="23">
        <f>S141</f>
        <v>0</v>
      </c>
      <c r="T130" s="23">
        <f t="shared" si="149"/>
        <v>135000</v>
      </c>
      <c r="U130" s="23">
        <f>U141</f>
        <v>0</v>
      </c>
      <c r="V130" s="23">
        <f t="shared" si="150"/>
        <v>135000</v>
      </c>
      <c r="W130" s="23">
        <f>W141</f>
        <v>0</v>
      </c>
      <c r="X130" s="23">
        <f t="shared" si="151"/>
        <v>135000</v>
      </c>
      <c r="Y130" s="24">
        <f>Y141</f>
        <v>0</v>
      </c>
      <c r="Z130" s="70">
        <f t="shared" si="152"/>
        <v>135000</v>
      </c>
    </row>
    <row r="131" spans="1:28" ht="54" x14ac:dyDescent="0.3">
      <c r="A131" s="64" t="s">
        <v>136</v>
      </c>
      <c r="B131" s="73" t="s">
        <v>36</v>
      </c>
      <c r="C131" s="73" t="s">
        <v>292</v>
      </c>
      <c r="D131" s="23">
        <v>36626.300000000003</v>
      </c>
      <c r="E131" s="23"/>
      <c r="F131" s="23">
        <f t="shared" si="142"/>
        <v>36626.300000000003</v>
      </c>
      <c r="G131" s="23">
        <v>12035.069</v>
      </c>
      <c r="H131" s="23">
        <f t="shared" si="143"/>
        <v>48661.369000000006</v>
      </c>
      <c r="I131" s="23"/>
      <c r="J131" s="23">
        <f t="shared" si="144"/>
        <v>48661.369000000006</v>
      </c>
      <c r="K131" s="23"/>
      <c r="L131" s="23">
        <f t="shared" si="145"/>
        <v>48661.369000000006</v>
      </c>
      <c r="M131" s="23"/>
      <c r="N131" s="23">
        <f t="shared" si="146"/>
        <v>48661.369000000006</v>
      </c>
      <c r="O131" s="23"/>
      <c r="P131" s="23">
        <f t="shared" si="147"/>
        <v>48661.369000000006</v>
      </c>
      <c r="Q131" s="23"/>
      <c r="R131" s="23">
        <f t="shared" si="148"/>
        <v>48661.369000000006</v>
      </c>
      <c r="S131" s="23"/>
      <c r="T131" s="23">
        <f t="shared" si="149"/>
        <v>48661.369000000006</v>
      </c>
      <c r="U131" s="23"/>
      <c r="V131" s="23">
        <f t="shared" si="150"/>
        <v>48661.369000000006</v>
      </c>
      <c r="W131" s="23">
        <f>-493.87-29505.63</f>
        <v>-29999.5</v>
      </c>
      <c r="X131" s="23">
        <f t="shared" si="151"/>
        <v>18661.869000000006</v>
      </c>
      <c r="Y131" s="24">
        <v>-471.02800000000002</v>
      </c>
      <c r="Z131" s="70">
        <f t="shared" si="152"/>
        <v>18190.841000000008</v>
      </c>
      <c r="AA131" s="16">
        <v>1020200000</v>
      </c>
    </row>
    <row r="132" spans="1:28" ht="54" x14ac:dyDescent="0.3">
      <c r="A132" s="64" t="s">
        <v>138</v>
      </c>
      <c r="B132" s="85" t="s">
        <v>32</v>
      </c>
      <c r="C132" s="73" t="s">
        <v>292</v>
      </c>
      <c r="D132" s="23">
        <v>7611.3</v>
      </c>
      <c r="E132" s="23"/>
      <c r="F132" s="23">
        <f t="shared" si="142"/>
        <v>7611.3</v>
      </c>
      <c r="G132" s="23">
        <v>1622.5709999999999</v>
      </c>
      <c r="H132" s="23">
        <f t="shared" si="143"/>
        <v>9233.8709999999992</v>
      </c>
      <c r="I132" s="23"/>
      <c r="J132" s="23">
        <f t="shared" si="144"/>
        <v>9233.8709999999992</v>
      </c>
      <c r="K132" s="23"/>
      <c r="L132" s="23">
        <f t="shared" si="145"/>
        <v>9233.8709999999992</v>
      </c>
      <c r="M132" s="23"/>
      <c r="N132" s="23">
        <f t="shared" si="146"/>
        <v>9233.8709999999992</v>
      </c>
      <c r="O132" s="23"/>
      <c r="P132" s="23">
        <f t="shared" si="147"/>
        <v>9233.8709999999992</v>
      </c>
      <c r="Q132" s="23"/>
      <c r="R132" s="23">
        <f t="shared" si="148"/>
        <v>9233.8709999999992</v>
      </c>
      <c r="S132" s="23"/>
      <c r="T132" s="23">
        <f t="shared" si="149"/>
        <v>9233.8709999999992</v>
      </c>
      <c r="U132" s="23"/>
      <c r="V132" s="23">
        <f t="shared" si="150"/>
        <v>9233.8709999999992</v>
      </c>
      <c r="W132" s="23"/>
      <c r="X132" s="23">
        <f t="shared" si="151"/>
        <v>9233.8709999999992</v>
      </c>
      <c r="Y132" s="24"/>
      <c r="Z132" s="70">
        <f t="shared" si="152"/>
        <v>9233.8709999999992</v>
      </c>
      <c r="AA132" s="16">
        <v>1110541750</v>
      </c>
    </row>
    <row r="133" spans="1:28" ht="54" x14ac:dyDescent="0.3">
      <c r="A133" s="64" t="s">
        <v>139</v>
      </c>
      <c r="B133" s="85" t="s">
        <v>33</v>
      </c>
      <c r="C133" s="73" t="s">
        <v>292</v>
      </c>
      <c r="D133" s="23">
        <v>22491.5</v>
      </c>
      <c r="E133" s="23"/>
      <c r="F133" s="23">
        <f t="shared" si="142"/>
        <v>22491.5</v>
      </c>
      <c r="G133" s="23">
        <v>9202.009</v>
      </c>
      <c r="H133" s="23">
        <f t="shared" si="143"/>
        <v>31693.508999999998</v>
      </c>
      <c r="I133" s="23"/>
      <c r="J133" s="23">
        <f t="shared" si="144"/>
        <v>31693.508999999998</v>
      </c>
      <c r="K133" s="23"/>
      <c r="L133" s="23">
        <f t="shared" si="145"/>
        <v>31693.508999999998</v>
      </c>
      <c r="M133" s="23"/>
      <c r="N133" s="23">
        <f t="shared" si="146"/>
        <v>31693.508999999998</v>
      </c>
      <c r="O133" s="23">
        <v>26.045999999999999</v>
      </c>
      <c r="P133" s="23">
        <f t="shared" si="147"/>
        <v>31719.554999999997</v>
      </c>
      <c r="Q133" s="23"/>
      <c r="R133" s="23">
        <f t="shared" si="148"/>
        <v>31719.554999999997</v>
      </c>
      <c r="S133" s="23"/>
      <c r="T133" s="23">
        <f t="shared" si="149"/>
        <v>31719.554999999997</v>
      </c>
      <c r="U133" s="23"/>
      <c r="V133" s="23">
        <f t="shared" si="150"/>
        <v>31719.554999999997</v>
      </c>
      <c r="W133" s="23">
        <v>-31451.737000000001</v>
      </c>
      <c r="X133" s="23">
        <f t="shared" si="151"/>
        <v>267.81799999999566</v>
      </c>
      <c r="Y133" s="24"/>
      <c r="Z133" s="70">
        <f t="shared" si="152"/>
        <v>267.81799999999566</v>
      </c>
      <c r="AA133" s="16">
        <v>1110541780</v>
      </c>
    </row>
    <row r="134" spans="1:28" ht="54" x14ac:dyDescent="0.3">
      <c r="A134" s="64" t="s">
        <v>140</v>
      </c>
      <c r="B134" s="85" t="s">
        <v>44</v>
      </c>
      <c r="C134" s="73" t="s">
        <v>292</v>
      </c>
      <c r="D134" s="23">
        <v>2172.8000000000002</v>
      </c>
      <c r="E134" s="23"/>
      <c r="F134" s="23">
        <f t="shared" si="142"/>
        <v>2172.8000000000002</v>
      </c>
      <c r="G134" s="23"/>
      <c r="H134" s="23">
        <f t="shared" si="143"/>
        <v>2172.8000000000002</v>
      </c>
      <c r="I134" s="23"/>
      <c r="J134" s="23">
        <f t="shared" si="144"/>
        <v>2172.8000000000002</v>
      </c>
      <c r="K134" s="23"/>
      <c r="L134" s="23">
        <f t="shared" si="145"/>
        <v>2172.8000000000002</v>
      </c>
      <c r="M134" s="23"/>
      <c r="N134" s="23">
        <f t="shared" si="146"/>
        <v>2172.8000000000002</v>
      </c>
      <c r="O134" s="23"/>
      <c r="P134" s="23">
        <f t="shared" si="147"/>
        <v>2172.8000000000002</v>
      </c>
      <c r="Q134" s="23"/>
      <c r="R134" s="23">
        <f t="shared" si="148"/>
        <v>2172.8000000000002</v>
      </c>
      <c r="S134" s="23"/>
      <c r="T134" s="23">
        <f t="shared" si="149"/>
        <v>2172.8000000000002</v>
      </c>
      <c r="U134" s="23"/>
      <c r="V134" s="23">
        <f t="shared" si="150"/>
        <v>2172.8000000000002</v>
      </c>
      <c r="W134" s="23"/>
      <c r="X134" s="23">
        <f t="shared" si="151"/>
        <v>2172.8000000000002</v>
      </c>
      <c r="Y134" s="24"/>
      <c r="Z134" s="70">
        <f t="shared" si="152"/>
        <v>2172.8000000000002</v>
      </c>
      <c r="AA134" s="16">
        <v>1110541820</v>
      </c>
    </row>
    <row r="135" spans="1:28" ht="54" x14ac:dyDescent="0.3">
      <c r="A135" s="64" t="s">
        <v>141</v>
      </c>
      <c r="B135" s="85" t="s">
        <v>35</v>
      </c>
      <c r="C135" s="73" t="s">
        <v>292</v>
      </c>
      <c r="D135" s="23">
        <v>3309.4</v>
      </c>
      <c r="E135" s="23"/>
      <c r="F135" s="23">
        <f t="shared" si="142"/>
        <v>3309.4</v>
      </c>
      <c r="G135" s="23"/>
      <c r="H135" s="23">
        <f t="shared" si="143"/>
        <v>3309.4</v>
      </c>
      <c r="I135" s="23"/>
      <c r="J135" s="23">
        <f t="shared" si="144"/>
        <v>3309.4</v>
      </c>
      <c r="K135" s="23"/>
      <c r="L135" s="23">
        <f t="shared" si="145"/>
        <v>3309.4</v>
      </c>
      <c r="M135" s="23"/>
      <c r="N135" s="23">
        <f t="shared" si="146"/>
        <v>3309.4</v>
      </c>
      <c r="O135" s="23">
        <v>-49.281999999999996</v>
      </c>
      <c r="P135" s="23">
        <f t="shared" si="147"/>
        <v>3260.1179999999999</v>
      </c>
      <c r="Q135" s="23"/>
      <c r="R135" s="23">
        <f t="shared" si="148"/>
        <v>3260.1179999999999</v>
      </c>
      <c r="S135" s="23"/>
      <c r="T135" s="23">
        <f t="shared" si="149"/>
        <v>3260.1179999999999</v>
      </c>
      <c r="U135" s="23"/>
      <c r="V135" s="23">
        <f t="shared" si="150"/>
        <v>3260.1179999999999</v>
      </c>
      <c r="W135" s="23"/>
      <c r="X135" s="23">
        <f t="shared" si="151"/>
        <v>3260.1179999999999</v>
      </c>
      <c r="Y135" s="24"/>
      <c r="Z135" s="70">
        <f t="shared" si="152"/>
        <v>3260.1179999999999</v>
      </c>
      <c r="AA135" s="16">
        <v>1110541830</v>
      </c>
    </row>
    <row r="136" spans="1:28" ht="54" x14ac:dyDescent="0.3">
      <c r="A136" s="64" t="s">
        <v>142</v>
      </c>
      <c r="B136" s="85" t="s">
        <v>34</v>
      </c>
      <c r="C136" s="73" t="s">
        <v>292</v>
      </c>
      <c r="D136" s="23">
        <v>1820.1</v>
      </c>
      <c r="E136" s="23"/>
      <c r="F136" s="23">
        <f t="shared" si="142"/>
        <v>1820.1</v>
      </c>
      <c r="G136" s="23"/>
      <c r="H136" s="23">
        <f t="shared" si="143"/>
        <v>1820.1</v>
      </c>
      <c r="I136" s="23"/>
      <c r="J136" s="23">
        <f t="shared" si="144"/>
        <v>1820.1</v>
      </c>
      <c r="K136" s="23"/>
      <c r="L136" s="23">
        <f t="shared" si="145"/>
        <v>1820.1</v>
      </c>
      <c r="M136" s="23"/>
      <c r="N136" s="23">
        <f t="shared" si="146"/>
        <v>1820.1</v>
      </c>
      <c r="O136" s="23">
        <v>-36.402000000000001</v>
      </c>
      <c r="P136" s="23">
        <f t="shared" si="147"/>
        <v>1783.6979999999999</v>
      </c>
      <c r="Q136" s="23"/>
      <c r="R136" s="23">
        <f t="shared" si="148"/>
        <v>1783.6979999999999</v>
      </c>
      <c r="S136" s="23"/>
      <c r="T136" s="23">
        <f t="shared" si="149"/>
        <v>1783.6979999999999</v>
      </c>
      <c r="U136" s="23"/>
      <c r="V136" s="23">
        <f t="shared" si="150"/>
        <v>1783.6979999999999</v>
      </c>
      <c r="W136" s="23"/>
      <c r="X136" s="23">
        <f t="shared" si="151"/>
        <v>1783.6979999999999</v>
      </c>
      <c r="Y136" s="24"/>
      <c r="Z136" s="70">
        <f t="shared" si="152"/>
        <v>1783.6979999999999</v>
      </c>
      <c r="AA136" s="16">
        <v>1110541850</v>
      </c>
    </row>
    <row r="137" spans="1:28" ht="54" x14ac:dyDescent="0.3">
      <c r="A137" s="64" t="s">
        <v>143</v>
      </c>
      <c r="B137" s="85" t="s">
        <v>173</v>
      </c>
      <c r="C137" s="73" t="s">
        <v>292</v>
      </c>
      <c r="D137" s="23">
        <v>4956.7</v>
      </c>
      <c r="E137" s="23"/>
      <c r="F137" s="23">
        <f t="shared" si="142"/>
        <v>4956.7</v>
      </c>
      <c r="G137" s="23"/>
      <c r="H137" s="23">
        <f t="shared" si="143"/>
        <v>4956.7</v>
      </c>
      <c r="I137" s="23"/>
      <c r="J137" s="23">
        <f t="shared" si="144"/>
        <v>4956.7</v>
      </c>
      <c r="K137" s="23"/>
      <c r="L137" s="23">
        <f t="shared" si="145"/>
        <v>4956.7</v>
      </c>
      <c r="M137" s="23"/>
      <c r="N137" s="23">
        <f t="shared" si="146"/>
        <v>4956.7</v>
      </c>
      <c r="O137" s="23">
        <v>-1215.3119999999999</v>
      </c>
      <c r="P137" s="23">
        <f t="shared" si="147"/>
        <v>3741.3879999999999</v>
      </c>
      <c r="Q137" s="23"/>
      <c r="R137" s="23">
        <f t="shared" si="148"/>
        <v>3741.3879999999999</v>
      </c>
      <c r="S137" s="23"/>
      <c r="T137" s="23">
        <f t="shared" si="149"/>
        <v>3741.3879999999999</v>
      </c>
      <c r="U137" s="23"/>
      <c r="V137" s="23">
        <f t="shared" si="150"/>
        <v>3741.3879999999999</v>
      </c>
      <c r="W137" s="23"/>
      <c r="X137" s="23">
        <f t="shared" si="151"/>
        <v>3741.3879999999999</v>
      </c>
      <c r="Y137" s="24"/>
      <c r="Z137" s="70">
        <f t="shared" si="152"/>
        <v>3741.3879999999999</v>
      </c>
      <c r="AA137" s="16">
        <v>1110541860</v>
      </c>
    </row>
    <row r="138" spans="1:28" ht="54" x14ac:dyDescent="0.3">
      <c r="A138" s="64" t="s">
        <v>144</v>
      </c>
      <c r="B138" s="85" t="s">
        <v>43</v>
      </c>
      <c r="C138" s="73" t="s">
        <v>292</v>
      </c>
      <c r="D138" s="23">
        <f>D140+D141</f>
        <v>219867</v>
      </c>
      <c r="E138" s="23">
        <f>E140+E141</f>
        <v>0</v>
      </c>
      <c r="F138" s="23">
        <f t="shared" si="142"/>
        <v>219867</v>
      </c>
      <c r="G138" s="23">
        <f>G140+G141</f>
        <v>252.65</v>
      </c>
      <c r="H138" s="23">
        <f t="shared" si="143"/>
        <v>220119.65</v>
      </c>
      <c r="I138" s="23">
        <f>I140+I141</f>
        <v>0</v>
      </c>
      <c r="J138" s="23">
        <f t="shared" si="144"/>
        <v>220119.65</v>
      </c>
      <c r="K138" s="23">
        <f>K140+K141</f>
        <v>0</v>
      </c>
      <c r="L138" s="23">
        <f t="shared" si="145"/>
        <v>220119.65</v>
      </c>
      <c r="M138" s="23">
        <f>M140+M141</f>
        <v>0</v>
      </c>
      <c r="N138" s="23">
        <f t="shared" si="146"/>
        <v>220119.65</v>
      </c>
      <c r="O138" s="23">
        <f>O140+O141</f>
        <v>728.84199999999998</v>
      </c>
      <c r="P138" s="23">
        <f t="shared" si="147"/>
        <v>220848.492</v>
      </c>
      <c r="Q138" s="23">
        <f>Q140+Q141</f>
        <v>0</v>
      </c>
      <c r="R138" s="23">
        <f t="shared" si="148"/>
        <v>220848.492</v>
      </c>
      <c r="S138" s="23">
        <f>S140+S141</f>
        <v>206.875</v>
      </c>
      <c r="T138" s="23">
        <f t="shared" si="149"/>
        <v>221055.367</v>
      </c>
      <c r="U138" s="23">
        <f>U140+U141</f>
        <v>0</v>
      </c>
      <c r="V138" s="23">
        <f t="shared" si="150"/>
        <v>221055.367</v>
      </c>
      <c r="W138" s="23">
        <f>W140+W141</f>
        <v>28239.839</v>
      </c>
      <c r="X138" s="23">
        <f t="shared" si="151"/>
        <v>249295.20600000001</v>
      </c>
      <c r="Y138" s="24">
        <f>Y140+Y141</f>
        <v>0</v>
      </c>
      <c r="Z138" s="70">
        <f t="shared" si="152"/>
        <v>249295.20600000001</v>
      </c>
    </row>
    <row r="139" spans="1:28" x14ac:dyDescent="0.3">
      <c r="A139" s="64"/>
      <c r="B139" s="73" t="s">
        <v>2</v>
      </c>
      <c r="C139" s="86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4"/>
      <c r="Z139" s="70"/>
    </row>
    <row r="140" spans="1:28" s="2" customFormat="1" hidden="1" x14ac:dyDescent="0.3">
      <c r="A140" s="1"/>
      <c r="B140" s="4" t="s">
        <v>3</v>
      </c>
      <c r="C140" s="10"/>
      <c r="D140" s="23">
        <v>84867</v>
      </c>
      <c r="E140" s="23"/>
      <c r="F140" s="23">
        <f t="shared" si="142"/>
        <v>84867</v>
      </c>
      <c r="G140" s="23">
        <v>252.65</v>
      </c>
      <c r="H140" s="23">
        <f t="shared" ref="H140:H148" si="153">F140+G140</f>
        <v>85119.65</v>
      </c>
      <c r="I140" s="23"/>
      <c r="J140" s="23">
        <f t="shared" ref="J140:J148" si="154">H140+I140</f>
        <v>85119.65</v>
      </c>
      <c r="K140" s="23"/>
      <c r="L140" s="23">
        <f t="shared" ref="L140:L148" si="155">J140+K140</f>
        <v>85119.65</v>
      </c>
      <c r="M140" s="23"/>
      <c r="N140" s="23">
        <f t="shared" ref="N140:N148" si="156">L140+M140</f>
        <v>85119.65</v>
      </c>
      <c r="O140" s="23">
        <f>643.915+84.927</f>
        <v>728.84199999999998</v>
      </c>
      <c r="P140" s="23">
        <f t="shared" ref="P140:P148" si="157">N140+O140</f>
        <v>85848.491999999998</v>
      </c>
      <c r="Q140" s="23"/>
      <c r="R140" s="23">
        <f t="shared" ref="R140:R148" si="158">P140+Q140</f>
        <v>85848.491999999998</v>
      </c>
      <c r="S140" s="23">
        <v>206.875</v>
      </c>
      <c r="T140" s="23">
        <f t="shared" ref="T140:T148" si="159">R140+S140</f>
        <v>86055.366999999998</v>
      </c>
      <c r="U140" s="23"/>
      <c r="V140" s="23">
        <f t="shared" ref="V140:V148" si="160">T140+U140</f>
        <v>86055.366999999998</v>
      </c>
      <c r="W140" s="23">
        <v>28239.839</v>
      </c>
      <c r="X140" s="23">
        <f t="shared" ref="X140:X148" si="161">V140+W140</f>
        <v>114295.20600000001</v>
      </c>
      <c r="Y140" s="24"/>
      <c r="Z140" s="23">
        <f t="shared" ref="Z140:Z148" si="162">X140+Y140</f>
        <v>114295.20600000001</v>
      </c>
      <c r="AA140" s="16" t="s">
        <v>265</v>
      </c>
      <c r="AB140" s="6">
        <v>0</v>
      </c>
    </row>
    <row r="141" spans="1:28" x14ac:dyDescent="0.3">
      <c r="A141" s="64"/>
      <c r="B141" s="73" t="s">
        <v>16</v>
      </c>
      <c r="C141" s="86"/>
      <c r="D141" s="23">
        <v>135000</v>
      </c>
      <c r="E141" s="23"/>
      <c r="F141" s="23">
        <f t="shared" si="142"/>
        <v>135000</v>
      </c>
      <c r="G141" s="23"/>
      <c r="H141" s="23">
        <f t="shared" si="153"/>
        <v>135000</v>
      </c>
      <c r="I141" s="23"/>
      <c r="J141" s="23">
        <f t="shared" si="154"/>
        <v>135000</v>
      </c>
      <c r="K141" s="23"/>
      <c r="L141" s="23">
        <f t="shared" si="155"/>
        <v>135000</v>
      </c>
      <c r="M141" s="23"/>
      <c r="N141" s="23">
        <f t="shared" si="156"/>
        <v>135000</v>
      </c>
      <c r="O141" s="23"/>
      <c r="P141" s="23">
        <f t="shared" si="157"/>
        <v>135000</v>
      </c>
      <c r="Q141" s="23"/>
      <c r="R141" s="23">
        <f t="shared" si="158"/>
        <v>135000</v>
      </c>
      <c r="S141" s="23"/>
      <c r="T141" s="23">
        <f t="shared" si="159"/>
        <v>135000</v>
      </c>
      <c r="U141" s="23"/>
      <c r="V141" s="23">
        <f t="shared" si="160"/>
        <v>135000</v>
      </c>
      <c r="W141" s="23"/>
      <c r="X141" s="23">
        <f t="shared" si="161"/>
        <v>135000</v>
      </c>
      <c r="Y141" s="24"/>
      <c r="Z141" s="70">
        <f t="shared" si="162"/>
        <v>135000</v>
      </c>
      <c r="AA141" s="16" t="s">
        <v>264</v>
      </c>
    </row>
    <row r="142" spans="1:28" ht="54" x14ac:dyDescent="0.3">
      <c r="A142" s="64" t="s">
        <v>145</v>
      </c>
      <c r="B142" s="85" t="s">
        <v>57</v>
      </c>
      <c r="C142" s="73" t="s">
        <v>292</v>
      </c>
      <c r="D142" s="23">
        <v>30036.1</v>
      </c>
      <c r="E142" s="23"/>
      <c r="F142" s="23">
        <f t="shared" si="142"/>
        <v>30036.1</v>
      </c>
      <c r="G142" s="23"/>
      <c r="H142" s="23">
        <f t="shared" si="153"/>
        <v>30036.1</v>
      </c>
      <c r="I142" s="23"/>
      <c r="J142" s="23">
        <f t="shared" si="154"/>
        <v>30036.1</v>
      </c>
      <c r="K142" s="23"/>
      <c r="L142" s="23">
        <f t="shared" si="155"/>
        <v>30036.1</v>
      </c>
      <c r="M142" s="23"/>
      <c r="N142" s="23">
        <f t="shared" si="156"/>
        <v>30036.1</v>
      </c>
      <c r="O142" s="23"/>
      <c r="P142" s="23">
        <f t="shared" si="157"/>
        <v>30036.1</v>
      </c>
      <c r="Q142" s="23"/>
      <c r="R142" s="23">
        <f t="shared" si="158"/>
        <v>30036.1</v>
      </c>
      <c r="S142" s="23">
        <v>28036.1</v>
      </c>
      <c r="T142" s="23">
        <f t="shared" si="159"/>
        <v>58072.2</v>
      </c>
      <c r="U142" s="23"/>
      <c r="V142" s="23">
        <f t="shared" si="160"/>
        <v>58072.2</v>
      </c>
      <c r="W142" s="23"/>
      <c r="X142" s="23">
        <f t="shared" si="161"/>
        <v>58072.2</v>
      </c>
      <c r="Y142" s="24"/>
      <c r="Z142" s="70">
        <f t="shared" si="162"/>
        <v>58072.2</v>
      </c>
      <c r="AA142" s="16">
        <v>1120441540</v>
      </c>
    </row>
    <row r="143" spans="1:28" ht="54" x14ac:dyDescent="0.3">
      <c r="A143" s="64" t="s">
        <v>146</v>
      </c>
      <c r="B143" s="85" t="s">
        <v>58</v>
      </c>
      <c r="C143" s="73" t="s">
        <v>292</v>
      </c>
      <c r="D143" s="23">
        <v>7443.5</v>
      </c>
      <c r="E143" s="23"/>
      <c r="F143" s="23">
        <f t="shared" si="142"/>
        <v>7443.5</v>
      </c>
      <c r="G143" s="23"/>
      <c r="H143" s="23">
        <f t="shared" si="153"/>
        <v>7443.5</v>
      </c>
      <c r="I143" s="23"/>
      <c r="J143" s="23">
        <f t="shared" si="154"/>
        <v>7443.5</v>
      </c>
      <c r="K143" s="23"/>
      <c r="L143" s="23">
        <f t="shared" si="155"/>
        <v>7443.5</v>
      </c>
      <c r="M143" s="23"/>
      <c r="N143" s="23">
        <f t="shared" si="156"/>
        <v>7443.5</v>
      </c>
      <c r="O143" s="23">
        <v>-93.5</v>
      </c>
      <c r="P143" s="23">
        <f t="shared" si="157"/>
        <v>7350</v>
      </c>
      <c r="Q143" s="23"/>
      <c r="R143" s="23">
        <f t="shared" si="158"/>
        <v>7350</v>
      </c>
      <c r="S143" s="23"/>
      <c r="T143" s="23">
        <f t="shared" si="159"/>
        <v>7350</v>
      </c>
      <c r="U143" s="23"/>
      <c r="V143" s="23">
        <f t="shared" si="160"/>
        <v>7350</v>
      </c>
      <c r="W143" s="23">
        <v>44.999000000000002</v>
      </c>
      <c r="X143" s="23">
        <f t="shared" si="161"/>
        <v>7394.9989999999998</v>
      </c>
      <c r="Y143" s="24"/>
      <c r="Z143" s="70">
        <f t="shared" si="162"/>
        <v>7394.9989999999998</v>
      </c>
      <c r="AA143" s="16">
        <v>1120441870</v>
      </c>
    </row>
    <row r="144" spans="1:28" ht="54" x14ac:dyDescent="0.3">
      <c r="A144" s="64" t="s">
        <v>147</v>
      </c>
      <c r="B144" s="85" t="s">
        <v>194</v>
      </c>
      <c r="C144" s="73" t="s">
        <v>292</v>
      </c>
      <c r="D144" s="23"/>
      <c r="E144" s="23"/>
      <c r="F144" s="23"/>
      <c r="G144" s="23">
        <v>395.28300000000002</v>
      </c>
      <c r="H144" s="23">
        <f t="shared" si="153"/>
        <v>395.28300000000002</v>
      </c>
      <c r="I144" s="23"/>
      <c r="J144" s="23">
        <f t="shared" si="154"/>
        <v>395.28300000000002</v>
      </c>
      <c r="K144" s="23"/>
      <c r="L144" s="23">
        <f t="shared" si="155"/>
        <v>395.28300000000002</v>
      </c>
      <c r="M144" s="23"/>
      <c r="N144" s="23">
        <f t="shared" si="156"/>
        <v>395.28300000000002</v>
      </c>
      <c r="O144" s="23"/>
      <c r="P144" s="23">
        <f t="shared" si="157"/>
        <v>395.28300000000002</v>
      </c>
      <c r="Q144" s="23"/>
      <c r="R144" s="23">
        <f t="shared" si="158"/>
        <v>395.28300000000002</v>
      </c>
      <c r="S144" s="23"/>
      <c r="T144" s="23">
        <f t="shared" si="159"/>
        <v>395.28300000000002</v>
      </c>
      <c r="U144" s="23"/>
      <c r="V144" s="23">
        <f t="shared" si="160"/>
        <v>395.28300000000002</v>
      </c>
      <c r="W144" s="23"/>
      <c r="X144" s="23">
        <f t="shared" si="161"/>
        <v>395.28300000000002</v>
      </c>
      <c r="Y144" s="24"/>
      <c r="Z144" s="70">
        <f t="shared" si="162"/>
        <v>395.28300000000002</v>
      </c>
      <c r="AA144" s="16" t="s">
        <v>197</v>
      </c>
    </row>
    <row r="145" spans="1:29" ht="54" x14ac:dyDescent="0.3">
      <c r="A145" s="64" t="s">
        <v>148</v>
      </c>
      <c r="B145" s="85" t="s">
        <v>195</v>
      </c>
      <c r="C145" s="73" t="s">
        <v>292</v>
      </c>
      <c r="D145" s="23"/>
      <c r="E145" s="23"/>
      <c r="F145" s="23"/>
      <c r="G145" s="23">
        <v>2744.8009999999999</v>
      </c>
      <c r="H145" s="23">
        <f t="shared" si="153"/>
        <v>2744.8009999999999</v>
      </c>
      <c r="I145" s="23"/>
      <c r="J145" s="23">
        <f t="shared" si="154"/>
        <v>2744.8009999999999</v>
      </c>
      <c r="K145" s="23"/>
      <c r="L145" s="23">
        <f t="shared" si="155"/>
        <v>2744.8009999999999</v>
      </c>
      <c r="M145" s="23"/>
      <c r="N145" s="23">
        <f t="shared" si="156"/>
        <v>2744.8009999999999</v>
      </c>
      <c r="O145" s="23"/>
      <c r="P145" s="23">
        <f t="shared" si="157"/>
        <v>2744.8009999999999</v>
      </c>
      <c r="Q145" s="23"/>
      <c r="R145" s="23">
        <f t="shared" si="158"/>
        <v>2744.8009999999999</v>
      </c>
      <c r="S145" s="23"/>
      <c r="T145" s="23">
        <f t="shared" si="159"/>
        <v>2744.8009999999999</v>
      </c>
      <c r="U145" s="23"/>
      <c r="V145" s="23">
        <f t="shared" si="160"/>
        <v>2744.8009999999999</v>
      </c>
      <c r="W145" s="23"/>
      <c r="X145" s="23">
        <f t="shared" si="161"/>
        <v>2744.8009999999999</v>
      </c>
      <c r="Y145" s="24"/>
      <c r="Z145" s="70">
        <f t="shared" si="162"/>
        <v>2744.8009999999999</v>
      </c>
      <c r="AA145" s="16" t="s">
        <v>198</v>
      </c>
    </row>
    <row r="146" spans="1:29" ht="54" x14ac:dyDescent="0.3">
      <c r="A146" s="64" t="s">
        <v>149</v>
      </c>
      <c r="B146" s="85" t="s">
        <v>196</v>
      </c>
      <c r="C146" s="73" t="s">
        <v>292</v>
      </c>
      <c r="D146" s="23"/>
      <c r="E146" s="23"/>
      <c r="F146" s="23"/>
      <c r="G146" s="23">
        <v>472.8</v>
      </c>
      <c r="H146" s="23">
        <f t="shared" si="153"/>
        <v>472.8</v>
      </c>
      <c r="I146" s="23"/>
      <c r="J146" s="23">
        <f t="shared" si="154"/>
        <v>472.8</v>
      </c>
      <c r="K146" s="23"/>
      <c r="L146" s="23">
        <f t="shared" si="155"/>
        <v>472.8</v>
      </c>
      <c r="M146" s="23"/>
      <c r="N146" s="23">
        <f t="shared" si="156"/>
        <v>472.8</v>
      </c>
      <c r="O146" s="23"/>
      <c r="P146" s="23">
        <f t="shared" si="157"/>
        <v>472.8</v>
      </c>
      <c r="Q146" s="23"/>
      <c r="R146" s="23">
        <f t="shared" si="158"/>
        <v>472.8</v>
      </c>
      <c r="S146" s="23"/>
      <c r="T146" s="23">
        <f t="shared" si="159"/>
        <v>472.8</v>
      </c>
      <c r="U146" s="23"/>
      <c r="V146" s="23">
        <f t="shared" si="160"/>
        <v>472.8</v>
      </c>
      <c r="W146" s="23"/>
      <c r="X146" s="23">
        <f t="shared" si="161"/>
        <v>472.8</v>
      </c>
      <c r="Y146" s="24"/>
      <c r="Z146" s="70">
        <f t="shared" si="162"/>
        <v>472.8</v>
      </c>
      <c r="AA146" s="16" t="s">
        <v>199</v>
      </c>
    </row>
    <row r="147" spans="1:29" ht="54" x14ac:dyDescent="0.3">
      <c r="A147" s="64" t="s">
        <v>150</v>
      </c>
      <c r="B147" s="85" t="s">
        <v>232</v>
      </c>
      <c r="C147" s="73" t="s">
        <v>292</v>
      </c>
      <c r="D147" s="23"/>
      <c r="E147" s="23"/>
      <c r="F147" s="23"/>
      <c r="G147" s="23">
        <f>40000+9758.877</f>
        <v>49758.877</v>
      </c>
      <c r="H147" s="23">
        <f t="shared" si="153"/>
        <v>49758.877</v>
      </c>
      <c r="I147" s="23"/>
      <c r="J147" s="23">
        <f t="shared" si="154"/>
        <v>49758.877</v>
      </c>
      <c r="K147" s="23"/>
      <c r="L147" s="23">
        <f t="shared" si="155"/>
        <v>49758.877</v>
      </c>
      <c r="M147" s="23"/>
      <c r="N147" s="23">
        <f t="shared" si="156"/>
        <v>49758.877</v>
      </c>
      <c r="O147" s="23">
        <v>16000</v>
      </c>
      <c r="P147" s="23">
        <f t="shared" si="157"/>
        <v>65758.877000000008</v>
      </c>
      <c r="Q147" s="23"/>
      <c r="R147" s="23">
        <f t="shared" si="158"/>
        <v>65758.877000000008</v>
      </c>
      <c r="S147" s="23">
        <v>-5212.4160000000002</v>
      </c>
      <c r="T147" s="23">
        <f t="shared" si="159"/>
        <v>60546.46100000001</v>
      </c>
      <c r="U147" s="23"/>
      <c r="V147" s="23">
        <f t="shared" si="160"/>
        <v>60546.46100000001</v>
      </c>
      <c r="W147" s="23">
        <v>-35422.743999999999</v>
      </c>
      <c r="X147" s="23">
        <f t="shared" si="161"/>
        <v>25123.717000000011</v>
      </c>
      <c r="Y147" s="24"/>
      <c r="Z147" s="70">
        <f t="shared" si="162"/>
        <v>25123.717000000011</v>
      </c>
      <c r="AA147" s="16" t="s">
        <v>233</v>
      </c>
    </row>
    <row r="148" spans="1:29" x14ac:dyDescent="0.3">
      <c r="A148" s="64"/>
      <c r="B148" s="73" t="s">
        <v>6</v>
      </c>
      <c r="C148" s="72"/>
      <c r="D148" s="22">
        <f>D150+D151</f>
        <v>1464315.0999999999</v>
      </c>
      <c r="E148" s="22">
        <f>E150+E151</f>
        <v>100000</v>
      </c>
      <c r="F148" s="22">
        <f t="shared" si="142"/>
        <v>1564315.0999999999</v>
      </c>
      <c r="G148" s="22">
        <f>G150+G151</f>
        <v>139754.22499999998</v>
      </c>
      <c r="H148" s="22">
        <f t="shared" si="153"/>
        <v>1704069.3249999997</v>
      </c>
      <c r="I148" s="22">
        <f>I150+I151</f>
        <v>0</v>
      </c>
      <c r="J148" s="22">
        <f t="shared" si="154"/>
        <v>1704069.3249999997</v>
      </c>
      <c r="K148" s="22">
        <f>K150+K151</f>
        <v>283733.40000000002</v>
      </c>
      <c r="L148" s="22">
        <f t="shared" si="155"/>
        <v>1987802.7249999996</v>
      </c>
      <c r="M148" s="22">
        <f>M150+M151</f>
        <v>0</v>
      </c>
      <c r="N148" s="22">
        <f t="shared" si="156"/>
        <v>1987802.7249999996</v>
      </c>
      <c r="O148" s="22">
        <f>O150+O151</f>
        <v>-334752.24599999998</v>
      </c>
      <c r="P148" s="22">
        <f t="shared" si="157"/>
        <v>1653050.4789999996</v>
      </c>
      <c r="Q148" s="22">
        <f>Q150+Q151</f>
        <v>0</v>
      </c>
      <c r="R148" s="22">
        <f t="shared" si="158"/>
        <v>1653050.4789999996</v>
      </c>
      <c r="S148" s="22">
        <f>S150+S151</f>
        <v>8195.7669999999998</v>
      </c>
      <c r="T148" s="22">
        <f t="shared" si="159"/>
        <v>1661246.2459999996</v>
      </c>
      <c r="U148" s="22">
        <f>U150+U151</f>
        <v>0</v>
      </c>
      <c r="V148" s="22">
        <f t="shared" si="160"/>
        <v>1661246.2459999996</v>
      </c>
      <c r="W148" s="22">
        <f>W150+W151</f>
        <v>-21331.741999999998</v>
      </c>
      <c r="X148" s="22">
        <f t="shared" si="161"/>
        <v>1639914.5039999995</v>
      </c>
      <c r="Y148" s="22">
        <f>Y150+Y151</f>
        <v>0</v>
      </c>
      <c r="Z148" s="70">
        <f t="shared" si="162"/>
        <v>1639914.5039999995</v>
      </c>
      <c r="AA148" s="48"/>
      <c r="AB148" s="49"/>
      <c r="AC148" s="52"/>
    </row>
    <row r="149" spans="1:29" x14ac:dyDescent="0.3">
      <c r="A149" s="64"/>
      <c r="B149" s="65" t="s">
        <v>2</v>
      </c>
      <c r="C149" s="86"/>
      <c r="D149" s="28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4"/>
      <c r="Z149" s="70"/>
    </row>
    <row r="150" spans="1:29" s="2" customFormat="1" hidden="1" x14ac:dyDescent="0.35">
      <c r="A150" s="1"/>
      <c r="B150" s="7" t="s">
        <v>3</v>
      </c>
      <c r="C150" s="5"/>
      <c r="D150" s="29">
        <f>D154+D158+D162+D166+D170+D174+D178+D180+D181+D182+D183+D187</f>
        <v>505895.59999999992</v>
      </c>
      <c r="E150" s="25">
        <f>E154+E158+E162+E166+E170+E174+E178+E180+E181+E182+E183+E189</f>
        <v>0</v>
      </c>
      <c r="F150" s="23">
        <f t="shared" si="142"/>
        <v>505895.59999999992</v>
      </c>
      <c r="G150" s="25">
        <f>G154+G158+G162+G166+G170+G174+G178+G180+G181+G182+G183+G189+G191+G192+G193+G194+G195</f>
        <v>139754.22499999998</v>
      </c>
      <c r="H150" s="23">
        <f t="shared" ref="H150:H152" si="163">F150+G150</f>
        <v>645649.82499999995</v>
      </c>
      <c r="I150" s="25">
        <f>I154+I158+I162+I166+I170+I174+I178+I180+I181+I182+I183+I189+I191+I192+I193+I194+I195</f>
        <v>0</v>
      </c>
      <c r="J150" s="23">
        <f t="shared" ref="J150:J152" si="164">H150+I150</f>
        <v>645649.82499999995</v>
      </c>
      <c r="K150" s="25">
        <f>K154+K158+K162+K166+K170+K174+K178+K180+K181+K189+K191+K192+K193+K194+K195+K198+K185+K206</f>
        <v>70933.399999999994</v>
      </c>
      <c r="L150" s="23">
        <f t="shared" ref="L150:L152" si="165">J150+K150</f>
        <v>716583.22499999998</v>
      </c>
      <c r="M150" s="25">
        <f>M154+M158+M162+M166+M170+M174+M178+M180+M181+M189+M191+M192+M193+M194+M195+M198+M185+M206</f>
        <v>0</v>
      </c>
      <c r="N150" s="23">
        <f t="shared" ref="N150:N152" si="166">L150+M150</f>
        <v>716583.22499999998</v>
      </c>
      <c r="O150" s="25">
        <f>O154+O158+O162+O166+O170+O174+O178+O180+O181+O189+O191+O192+O193+O194+O195+O198+O185+O206+O182+O208</f>
        <v>-103167.246</v>
      </c>
      <c r="P150" s="23">
        <f t="shared" ref="P150:P152" si="167">N150+O150</f>
        <v>613415.97899999993</v>
      </c>
      <c r="Q150" s="25">
        <f>Q154+Q158+Q162+Q166+Q170+Q174+Q178+Q180+Q181+Q189+Q191+Q192+Q193+Q194+Q195+Q198+Q185+Q206+Q182+Q208</f>
        <v>0</v>
      </c>
      <c r="R150" s="23">
        <f t="shared" ref="R150:R152" si="168">P150+Q150</f>
        <v>613415.97899999993</v>
      </c>
      <c r="S150" s="25">
        <f>S154+S158+S162+S166+S170+S174+S178+S180+S181+S189+S191+S192+S193+S194+S195+S198+S185+S206+S182+S208</f>
        <v>8195.7669999999998</v>
      </c>
      <c r="T150" s="23">
        <f t="shared" ref="T150:T152" si="169">R150+S150</f>
        <v>621611.74599999993</v>
      </c>
      <c r="U150" s="25">
        <f>U154+U158+U162+U166+U170+U174+U178+U180+U181+U189+U191+U192+U193+U194+U195+U198+U185+U206+U182+U208</f>
        <v>0</v>
      </c>
      <c r="V150" s="23">
        <f t="shared" ref="V150:V152" si="170">T150+U150</f>
        <v>621611.74599999993</v>
      </c>
      <c r="W150" s="25">
        <f>W154+W158+W162+W166+W170+W174+W178+W180+W181+W189+W191+W192+W193+W194+W195+W198+W185+W206+W182+W208+W202</f>
        <v>-21331.741999999998</v>
      </c>
      <c r="X150" s="23">
        <f t="shared" ref="X150:X152" si="171">V150+W150</f>
        <v>600280.00399999996</v>
      </c>
      <c r="Y150" s="26">
        <f>Y154+Y158+Y162+Y166+Y170+Y174+Y178+Y180+Y181+Y189+Y191+Y192+Y193+Y194+Y195+Y198+Y185+Y206+Y182+Y208+Y202</f>
        <v>0</v>
      </c>
      <c r="Z150" s="23">
        <f t="shared" ref="Z150:Z152" si="172">X150+Y150</f>
        <v>600280.00399999996</v>
      </c>
      <c r="AA150" s="16"/>
      <c r="AB150" s="6">
        <v>0</v>
      </c>
    </row>
    <row r="151" spans="1:29" x14ac:dyDescent="0.3">
      <c r="A151" s="64"/>
      <c r="B151" s="65" t="s">
        <v>24</v>
      </c>
      <c r="C151" s="85"/>
      <c r="D151" s="28">
        <f>D155+D163+D167+D171+D175+D179+D159</f>
        <v>958419.5</v>
      </c>
      <c r="E151" s="23">
        <f>E155+E163+E167+E171+E175+E179+E159+E190</f>
        <v>100000</v>
      </c>
      <c r="F151" s="23">
        <f t="shared" si="142"/>
        <v>1058419.5</v>
      </c>
      <c r="G151" s="23">
        <f>G155+G163+G167+G171+G175+G179+G159+G190</f>
        <v>0</v>
      </c>
      <c r="H151" s="23">
        <f t="shared" si="163"/>
        <v>1058419.5</v>
      </c>
      <c r="I151" s="23">
        <f>I155+I163+I167+I171+I175+I179+I159+I190</f>
        <v>0</v>
      </c>
      <c r="J151" s="23">
        <f t="shared" si="164"/>
        <v>1058419.5</v>
      </c>
      <c r="K151" s="23">
        <f>K155+K163+K167+K171+K175+K179+K159+K190+K199+K186+K207</f>
        <v>212800</v>
      </c>
      <c r="L151" s="23">
        <f t="shared" si="165"/>
        <v>1271219.5</v>
      </c>
      <c r="M151" s="23">
        <f>M155+M163+M167+M171+M175+M179+M159+M190+M199+M186+M207</f>
        <v>0</v>
      </c>
      <c r="N151" s="23">
        <f t="shared" si="166"/>
        <v>1271219.5</v>
      </c>
      <c r="O151" s="23">
        <f>O155+O163+O167+O171+O175+O179+O159+O190+O199+O186+O207</f>
        <v>-231585</v>
      </c>
      <c r="P151" s="23">
        <f t="shared" si="167"/>
        <v>1039634.5</v>
      </c>
      <c r="Q151" s="23">
        <f>Q155+Q163+Q167+Q171+Q175+Q179+Q159+Q190+Q199+Q186+Q207</f>
        <v>0</v>
      </c>
      <c r="R151" s="23">
        <f t="shared" si="168"/>
        <v>1039634.5</v>
      </c>
      <c r="S151" s="23">
        <f>S155+S163+S167+S171+S175+S179+S159+S190+S199+S186+S207</f>
        <v>0</v>
      </c>
      <c r="T151" s="23">
        <f t="shared" si="169"/>
        <v>1039634.5</v>
      </c>
      <c r="U151" s="23">
        <f>U155+U163+U167+U171+U175+U179+U159+U190+U199+U186+U207</f>
        <v>0</v>
      </c>
      <c r="V151" s="23">
        <f t="shared" si="170"/>
        <v>1039634.5</v>
      </c>
      <c r="W151" s="23">
        <f>W155+W163+W167+W171+W175+W179+W159+W190+W199+W186+W207+W203</f>
        <v>0</v>
      </c>
      <c r="X151" s="23">
        <f t="shared" si="171"/>
        <v>1039634.5</v>
      </c>
      <c r="Y151" s="24">
        <f>Y155+Y163+Y167+Y171+Y175+Y179+Y159+Y190+Y199+Y186+Y207+Y203</f>
        <v>0</v>
      </c>
      <c r="Z151" s="70">
        <f t="shared" si="172"/>
        <v>1039634.5</v>
      </c>
    </row>
    <row r="152" spans="1:29" ht="54" x14ac:dyDescent="0.3">
      <c r="A152" s="64" t="s">
        <v>151</v>
      </c>
      <c r="B152" s="73" t="s">
        <v>29</v>
      </c>
      <c r="C152" s="73" t="s">
        <v>292</v>
      </c>
      <c r="D152" s="28">
        <f>D154+D155</f>
        <v>248624.9</v>
      </c>
      <c r="E152" s="23">
        <f>E154+E155</f>
        <v>25000</v>
      </c>
      <c r="F152" s="23">
        <f t="shared" si="142"/>
        <v>273624.90000000002</v>
      </c>
      <c r="G152" s="23">
        <f>G154+G155</f>
        <v>-19620.5</v>
      </c>
      <c r="H152" s="23">
        <f t="shared" si="163"/>
        <v>254004.40000000002</v>
      </c>
      <c r="I152" s="23">
        <f>I154+I155</f>
        <v>0</v>
      </c>
      <c r="J152" s="23">
        <f t="shared" si="164"/>
        <v>254004.40000000002</v>
      </c>
      <c r="K152" s="23">
        <f>K154+K155</f>
        <v>85032.299999999988</v>
      </c>
      <c r="L152" s="23">
        <f t="shared" si="165"/>
        <v>339036.7</v>
      </c>
      <c r="M152" s="23">
        <f>M154+M155</f>
        <v>0</v>
      </c>
      <c r="N152" s="23">
        <f t="shared" si="166"/>
        <v>339036.7</v>
      </c>
      <c r="O152" s="23">
        <f>O154+O155</f>
        <v>55486.400000000001</v>
      </c>
      <c r="P152" s="23">
        <f t="shared" si="167"/>
        <v>394523.10000000003</v>
      </c>
      <c r="Q152" s="23">
        <f>Q154+Q155</f>
        <v>0</v>
      </c>
      <c r="R152" s="23">
        <f t="shared" si="168"/>
        <v>394523.10000000003</v>
      </c>
      <c r="S152" s="23">
        <f>S154+S155</f>
        <v>243.52</v>
      </c>
      <c r="T152" s="23">
        <f t="shared" si="169"/>
        <v>394766.62000000005</v>
      </c>
      <c r="U152" s="23">
        <f>U154+U155</f>
        <v>0</v>
      </c>
      <c r="V152" s="23">
        <f t="shared" si="170"/>
        <v>394766.62000000005</v>
      </c>
      <c r="W152" s="23">
        <f>W154+W155</f>
        <v>0</v>
      </c>
      <c r="X152" s="23">
        <f t="shared" si="171"/>
        <v>394766.62000000005</v>
      </c>
      <c r="Y152" s="24">
        <f>Y154+Y155</f>
        <v>0</v>
      </c>
      <c r="Z152" s="70">
        <f t="shared" si="172"/>
        <v>394766.62000000005</v>
      </c>
    </row>
    <row r="153" spans="1:29" x14ac:dyDescent="0.3">
      <c r="A153" s="64"/>
      <c r="B153" s="73" t="s">
        <v>2</v>
      </c>
      <c r="C153" s="73"/>
      <c r="D153" s="28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4"/>
      <c r="Z153" s="70"/>
    </row>
    <row r="154" spans="1:29" s="2" customFormat="1" hidden="1" x14ac:dyDescent="0.3">
      <c r="A154" s="1"/>
      <c r="B154" s="4" t="s">
        <v>3</v>
      </c>
      <c r="C154" s="4"/>
      <c r="D154" s="28">
        <v>164530.29999999999</v>
      </c>
      <c r="E154" s="23"/>
      <c r="F154" s="23">
        <f t="shared" si="142"/>
        <v>164530.29999999999</v>
      </c>
      <c r="G154" s="23">
        <f>-25000+5379.5</f>
        <v>-19620.5</v>
      </c>
      <c r="H154" s="23">
        <f t="shared" ref="H154:H156" si="173">F154+G154</f>
        <v>144909.79999999999</v>
      </c>
      <c r="I154" s="23"/>
      <c r="J154" s="23">
        <f t="shared" ref="J154:J156" si="174">H154+I154</f>
        <v>144909.79999999999</v>
      </c>
      <c r="K154" s="23">
        <f>21258.1-0.1</f>
        <v>21258</v>
      </c>
      <c r="L154" s="23">
        <f t="shared" ref="L154:L156" si="175">J154+K154</f>
        <v>166167.79999999999</v>
      </c>
      <c r="M154" s="23"/>
      <c r="N154" s="23">
        <f t="shared" ref="N154:N156" si="176">L154+M154</f>
        <v>166167.79999999999</v>
      </c>
      <c r="O154" s="23">
        <v>13871.6</v>
      </c>
      <c r="P154" s="23">
        <f t="shared" ref="P154:P156" si="177">N154+O154</f>
        <v>180039.4</v>
      </c>
      <c r="Q154" s="23"/>
      <c r="R154" s="23">
        <f t="shared" ref="R154:R156" si="178">P154+Q154</f>
        <v>180039.4</v>
      </c>
      <c r="S154" s="23">
        <v>243.52</v>
      </c>
      <c r="T154" s="23">
        <f t="shared" ref="T154:T156" si="179">R154+S154</f>
        <v>180282.91999999998</v>
      </c>
      <c r="U154" s="23"/>
      <c r="V154" s="23">
        <f t="shared" ref="V154:V156" si="180">T154+U154</f>
        <v>180282.91999999998</v>
      </c>
      <c r="W154" s="23"/>
      <c r="X154" s="23">
        <f t="shared" ref="X154:X156" si="181">V154+W154</f>
        <v>180282.91999999998</v>
      </c>
      <c r="Y154" s="24"/>
      <c r="Z154" s="23">
        <f t="shared" ref="Z154:Z156" si="182">X154+Y154</f>
        <v>180282.91999999998</v>
      </c>
      <c r="AA154" s="16" t="s">
        <v>279</v>
      </c>
      <c r="AB154" s="6">
        <v>0</v>
      </c>
    </row>
    <row r="155" spans="1:29" x14ac:dyDescent="0.3">
      <c r="A155" s="64"/>
      <c r="B155" s="73" t="s">
        <v>24</v>
      </c>
      <c r="C155" s="73"/>
      <c r="D155" s="30">
        <v>84094.6</v>
      </c>
      <c r="E155" s="30">
        <v>25000</v>
      </c>
      <c r="F155" s="23">
        <f t="shared" si="142"/>
        <v>109094.6</v>
      </c>
      <c r="G155" s="30"/>
      <c r="H155" s="23">
        <f t="shared" si="173"/>
        <v>109094.6</v>
      </c>
      <c r="I155" s="30"/>
      <c r="J155" s="23">
        <f t="shared" si="174"/>
        <v>109094.6</v>
      </c>
      <c r="K155" s="30">
        <f>63774.2+0.1</f>
        <v>63774.299999999996</v>
      </c>
      <c r="L155" s="23">
        <f t="shared" si="175"/>
        <v>172868.9</v>
      </c>
      <c r="M155" s="30"/>
      <c r="N155" s="23">
        <f t="shared" si="176"/>
        <v>172868.9</v>
      </c>
      <c r="O155" s="30">
        <f>0.1-0.1+41614.8</f>
        <v>41614.800000000003</v>
      </c>
      <c r="P155" s="23">
        <f t="shared" si="177"/>
        <v>214483.7</v>
      </c>
      <c r="Q155" s="30"/>
      <c r="R155" s="23">
        <f t="shared" si="178"/>
        <v>214483.7</v>
      </c>
      <c r="S155" s="30"/>
      <c r="T155" s="23">
        <f t="shared" si="179"/>
        <v>214483.7</v>
      </c>
      <c r="U155" s="30"/>
      <c r="V155" s="23">
        <f t="shared" si="180"/>
        <v>214483.7</v>
      </c>
      <c r="W155" s="30"/>
      <c r="X155" s="23">
        <f t="shared" si="181"/>
        <v>214483.7</v>
      </c>
      <c r="Y155" s="32"/>
      <c r="Z155" s="70">
        <f t="shared" si="182"/>
        <v>214483.7</v>
      </c>
      <c r="AA155" s="16" t="s">
        <v>161</v>
      </c>
    </row>
    <row r="156" spans="1:29" ht="54" x14ac:dyDescent="0.3">
      <c r="A156" s="64" t="s">
        <v>152</v>
      </c>
      <c r="B156" s="73" t="s">
        <v>56</v>
      </c>
      <c r="C156" s="73" t="s">
        <v>292</v>
      </c>
      <c r="D156" s="28">
        <f>D158+D159</f>
        <v>18135</v>
      </c>
      <c r="E156" s="23">
        <f>E158+E159</f>
        <v>0</v>
      </c>
      <c r="F156" s="23">
        <f t="shared" si="142"/>
        <v>18135</v>
      </c>
      <c r="G156" s="23">
        <f>G158+G159</f>
        <v>4545</v>
      </c>
      <c r="H156" s="23">
        <f t="shared" si="173"/>
        <v>22680</v>
      </c>
      <c r="I156" s="23">
        <f>I158+I159</f>
        <v>0</v>
      </c>
      <c r="J156" s="23">
        <f t="shared" si="174"/>
        <v>22680</v>
      </c>
      <c r="K156" s="23">
        <f>K158+K159</f>
        <v>0</v>
      </c>
      <c r="L156" s="23">
        <f t="shared" si="175"/>
        <v>22680</v>
      </c>
      <c r="M156" s="23">
        <f>M158+M159</f>
        <v>0</v>
      </c>
      <c r="N156" s="23">
        <f t="shared" si="176"/>
        <v>22680</v>
      </c>
      <c r="O156" s="23">
        <f>O158+O159</f>
        <v>0</v>
      </c>
      <c r="P156" s="23">
        <f t="shared" si="177"/>
        <v>22680</v>
      </c>
      <c r="Q156" s="23">
        <f>Q158+Q159</f>
        <v>0</v>
      </c>
      <c r="R156" s="23">
        <f t="shared" si="178"/>
        <v>22680</v>
      </c>
      <c r="S156" s="23">
        <f>S158+S159</f>
        <v>0</v>
      </c>
      <c r="T156" s="23">
        <f t="shared" si="179"/>
        <v>22680</v>
      </c>
      <c r="U156" s="23">
        <f>U158+U159</f>
        <v>0</v>
      </c>
      <c r="V156" s="23">
        <f t="shared" si="180"/>
        <v>22680</v>
      </c>
      <c r="W156" s="23">
        <f>W158+W159</f>
        <v>-14934.742</v>
      </c>
      <c r="X156" s="23">
        <f t="shared" si="181"/>
        <v>7745.2579999999998</v>
      </c>
      <c r="Y156" s="24">
        <f>Y158+Y159</f>
        <v>0</v>
      </c>
      <c r="Z156" s="70">
        <f t="shared" si="182"/>
        <v>7745.2579999999998</v>
      </c>
    </row>
    <row r="157" spans="1:29" s="2" customFormat="1" hidden="1" x14ac:dyDescent="0.3">
      <c r="A157" s="1"/>
      <c r="B157" s="4" t="s">
        <v>2</v>
      </c>
      <c r="C157" s="4"/>
      <c r="D157" s="28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4"/>
      <c r="Z157" s="23"/>
      <c r="AA157" s="16"/>
      <c r="AB157" s="6">
        <v>0</v>
      </c>
    </row>
    <row r="158" spans="1:29" s="2" customFormat="1" hidden="1" x14ac:dyDescent="0.3">
      <c r="A158" s="1"/>
      <c r="B158" s="4" t="s">
        <v>3</v>
      </c>
      <c r="C158" s="4"/>
      <c r="D158" s="28">
        <v>18135</v>
      </c>
      <c r="E158" s="23"/>
      <c r="F158" s="23">
        <f t="shared" si="142"/>
        <v>18135</v>
      </c>
      <c r="G158" s="23">
        <f>8.829+4536.171</f>
        <v>4545</v>
      </c>
      <c r="H158" s="23">
        <f t="shared" ref="H158:H160" si="183">F158+G158</f>
        <v>22680</v>
      </c>
      <c r="I158" s="23"/>
      <c r="J158" s="23">
        <f t="shared" ref="J158:J160" si="184">H158+I158</f>
        <v>22680</v>
      </c>
      <c r="K158" s="23"/>
      <c r="L158" s="23">
        <f t="shared" ref="L158:L160" si="185">J158+K158</f>
        <v>22680</v>
      </c>
      <c r="M158" s="23"/>
      <c r="N158" s="23">
        <f t="shared" ref="N158:N160" si="186">L158+M158</f>
        <v>22680</v>
      </c>
      <c r="O158" s="23"/>
      <c r="P158" s="23">
        <f t="shared" ref="P158:P160" si="187">N158+O158</f>
        <v>22680</v>
      </c>
      <c r="Q158" s="23"/>
      <c r="R158" s="23">
        <f t="shared" ref="R158:R160" si="188">P158+Q158</f>
        <v>22680</v>
      </c>
      <c r="S158" s="23"/>
      <c r="T158" s="23">
        <f t="shared" ref="T158:T160" si="189">R158+S158</f>
        <v>22680</v>
      </c>
      <c r="U158" s="23"/>
      <c r="V158" s="23">
        <f t="shared" ref="V158:V160" si="190">T158+U158</f>
        <v>22680</v>
      </c>
      <c r="W158" s="23">
        <v>-14934.742</v>
      </c>
      <c r="X158" s="23">
        <f t="shared" ref="X158:X160" si="191">V158+W158</f>
        <v>7745.2579999999998</v>
      </c>
      <c r="Y158" s="24"/>
      <c r="Z158" s="23">
        <f t="shared" ref="Z158:Z160" si="192">X158+Y158</f>
        <v>7745.2579999999998</v>
      </c>
      <c r="AA158" s="16">
        <v>1020141920</v>
      </c>
      <c r="AB158" s="6">
        <v>0</v>
      </c>
    </row>
    <row r="159" spans="1:29" s="2" customFormat="1" hidden="1" x14ac:dyDescent="0.3">
      <c r="A159" s="1"/>
      <c r="B159" s="4" t="s">
        <v>24</v>
      </c>
      <c r="C159" s="4"/>
      <c r="D159" s="28">
        <v>0</v>
      </c>
      <c r="E159" s="23">
        <v>0</v>
      </c>
      <c r="F159" s="23">
        <f t="shared" si="142"/>
        <v>0</v>
      </c>
      <c r="G159" s="23">
        <v>0</v>
      </c>
      <c r="H159" s="23">
        <f t="shared" si="183"/>
        <v>0</v>
      </c>
      <c r="I159" s="23">
        <v>0</v>
      </c>
      <c r="J159" s="23">
        <f t="shared" si="184"/>
        <v>0</v>
      </c>
      <c r="K159" s="23">
        <v>0</v>
      </c>
      <c r="L159" s="23">
        <f t="shared" si="185"/>
        <v>0</v>
      </c>
      <c r="M159" s="23">
        <v>0</v>
      </c>
      <c r="N159" s="23">
        <f t="shared" si="186"/>
        <v>0</v>
      </c>
      <c r="O159" s="23">
        <v>0</v>
      </c>
      <c r="P159" s="23">
        <f t="shared" si="187"/>
        <v>0</v>
      </c>
      <c r="Q159" s="23">
        <v>0</v>
      </c>
      <c r="R159" s="23">
        <f t="shared" si="188"/>
        <v>0</v>
      </c>
      <c r="S159" s="23">
        <v>0</v>
      </c>
      <c r="T159" s="23">
        <f t="shared" si="189"/>
        <v>0</v>
      </c>
      <c r="U159" s="23">
        <v>0</v>
      </c>
      <c r="V159" s="23">
        <f t="shared" si="190"/>
        <v>0</v>
      </c>
      <c r="W159" s="23">
        <v>0</v>
      </c>
      <c r="X159" s="23">
        <f t="shared" si="191"/>
        <v>0</v>
      </c>
      <c r="Y159" s="24">
        <v>0</v>
      </c>
      <c r="Z159" s="23">
        <f t="shared" si="192"/>
        <v>0</v>
      </c>
      <c r="AA159" s="16" t="s">
        <v>161</v>
      </c>
      <c r="AB159" s="6">
        <v>0</v>
      </c>
    </row>
    <row r="160" spans="1:29" ht="69.75" customHeight="1" x14ac:dyDescent="0.3">
      <c r="A160" s="64" t="s">
        <v>153</v>
      </c>
      <c r="B160" s="73" t="s">
        <v>82</v>
      </c>
      <c r="C160" s="73" t="s">
        <v>292</v>
      </c>
      <c r="D160" s="28">
        <f>D162+D163</f>
        <v>732685.8</v>
      </c>
      <c r="E160" s="23">
        <f>E162+E163</f>
        <v>0</v>
      </c>
      <c r="F160" s="23">
        <f t="shared" si="142"/>
        <v>732685.8</v>
      </c>
      <c r="G160" s="23">
        <f>G162+G163</f>
        <v>69317.505999999994</v>
      </c>
      <c r="H160" s="23">
        <f t="shared" si="183"/>
        <v>802003.3060000001</v>
      </c>
      <c r="I160" s="23">
        <f>I162+I163</f>
        <v>0</v>
      </c>
      <c r="J160" s="23">
        <f t="shared" si="184"/>
        <v>802003.3060000001</v>
      </c>
      <c r="K160" s="23">
        <f>K162+K163</f>
        <v>0</v>
      </c>
      <c r="L160" s="23">
        <f t="shared" si="185"/>
        <v>802003.3060000001</v>
      </c>
      <c r="M160" s="23">
        <f>M162+M163</f>
        <v>0</v>
      </c>
      <c r="N160" s="23">
        <f t="shared" si="186"/>
        <v>802003.3060000001</v>
      </c>
      <c r="O160" s="23">
        <f>O162+O163</f>
        <v>72725.600000000006</v>
      </c>
      <c r="P160" s="23">
        <f t="shared" si="187"/>
        <v>874728.90600000008</v>
      </c>
      <c r="Q160" s="23">
        <f>Q162+Q163</f>
        <v>0</v>
      </c>
      <c r="R160" s="23">
        <f t="shared" si="188"/>
        <v>874728.90600000008</v>
      </c>
      <c r="S160" s="23">
        <f>S162+S163</f>
        <v>9165.8140000000003</v>
      </c>
      <c r="T160" s="23">
        <f t="shared" si="189"/>
        <v>883894.72000000009</v>
      </c>
      <c r="U160" s="23">
        <f>U162+U163</f>
        <v>0</v>
      </c>
      <c r="V160" s="23">
        <f t="shared" si="190"/>
        <v>883894.72000000009</v>
      </c>
      <c r="W160" s="23">
        <f>W162+W163</f>
        <v>0</v>
      </c>
      <c r="X160" s="23">
        <f t="shared" si="191"/>
        <v>883894.72000000009</v>
      </c>
      <c r="Y160" s="24">
        <f>Y162+Y163</f>
        <v>0</v>
      </c>
      <c r="Z160" s="70">
        <f t="shared" si="192"/>
        <v>883894.72000000009</v>
      </c>
    </row>
    <row r="161" spans="1:28" x14ac:dyDescent="0.3">
      <c r="A161" s="64"/>
      <c r="B161" s="73" t="s">
        <v>2</v>
      </c>
      <c r="C161" s="73"/>
      <c r="D161" s="28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4"/>
      <c r="Z161" s="70"/>
    </row>
    <row r="162" spans="1:28" s="2" customFormat="1" hidden="1" x14ac:dyDescent="0.3">
      <c r="A162" s="1"/>
      <c r="B162" s="4" t="s">
        <v>3</v>
      </c>
      <c r="C162" s="4"/>
      <c r="D162" s="28">
        <v>183171.5</v>
      </c>
      <c r="E162" s="23"/>
      <c r="F162" s="23">
        <f t="shared" si="142"/>
        <v>183171.5</v>
      </c>
      <c r="G162" s="23">
        <f>44317.506+25000</f>
        <v>69317.505999999994</v>
      </c>
      <c r="H162" s="23">
        <f t="shared" ref="H162:H164" si="193">F162+G162</f>
        <v>252489.00599999999</v>
      </c>
      <c r="I162" s="23"/>
      <c r="J162" s="23">
        <f t="shared" ref="J162:J164" si="194">H162+I162</f>
        <v>252489.00599999999</v>
      </c>
      <c r="K162" s="23"/>
      <c r="L162" s="23">
        <f t="shared" ref="L162:L164" si="195">J162+K162</f>
        <v>252489.00599999999</v>
      </c>
      <c r="M162" s="23"/>
      <c r="N162" s="23">
        <f t="shared" ref="N162:N164" si="196">L162+M162</f>
        <v>252489.00599999999</v>
      </c>
      <c r="O162" s="23">
        <v>28705.4</v>
      </c>
      <c r="P162" s="23">
        <f t="shared" ref="P162:P164" si="197">N162+O162</f>
        <v>281194.40600000002</v>
      </c>
      <c r="Q162" s="23"/>
      <c r="R162" s="23">
        <f t="shared" ref="R162:R164" si="198">P162+Q162</f>
        <v>281194.40600000002</v>
      </c>
      <c r="S162" s="23">
        <f>9165.814</f>
        <v>9165.8140000000003</v>
      </c>
      <c r="T162" s="23">
        <f t="shared" ref="T162:T164" si="199">R162+S162</f>
        <v>290360.22000000003</v>
      </c>
      <c r="U162" s="23"/>
      <c r="V162" s="23">
        <f t="shared" ref="V162:V164" si="200">T162+U162</f>
        <v>290360.22000000003</v>
      </c>
      <c r="W162" s="23">
        <f>-183171.5+183171.5</f>
        <v>0</v>
      </c>
      <c r="X162" s="23">
        <f t="shared" ref="X162:X164" si="201">V162+W162</f>
        <v>290360.22000000003</v>
      </c>
      <c r="Y162" s="24"/>
      <c r="Z162" s="23">
        <f t="shared" ref="Z162:Z164" si="202">X162+Y162</f>
        <v>290360.22000000003</v>
      </c>
      <c r="AA162" s="16" t="s">
        <v>294</v>
      </c>
      <c r="AB162" s="6">
        <v>0</v>
      </c>
    </row>
    <row r="163" spans="1:28" x14ac:dyDescent="0.3">
      <c r="A163" s="64"/>
      <c r="B163" s="73" t="s">
        <v>24</v>
      </c>
      <c r="C163" s="73"/>
      <c r="D163" s="28">
        <v>549514.30000000005</v>
      </c>
      <c r="E163" s="23"/>
      <c r="F163" s="23">
        <f t="shared" si="142"/>
        <v>549514.30000000005</v>
      </c>
      <c r="G163" s="23"/>
      <c r="H163" s="23">
        <f t="shared" si="193"/>
        <v>549514.30000000005</v>
      </c>
      <c r="I163" s="23"/>
      <c r="J163" s="23">
        <f t="shared" si="194"/>
        <v>549514.30000000005</v>
      </c>
      <c r="K163" s="23"/>
      <c r="L163" s="23">
        <f t="shared" si="195"/>
        <v>549514.30000000005</v>
      </c>
      <c r="M163" s="23"/>
      <c r="N163" s="23">
        <f t="shared" si="196"/>
        <v>549514.30000000005</v>
      </c>
      <c r="O163" s="23">
        <v>44020.2</v>
      </c>
      <c r="P163" s="23">
        <f t="shared" si="197"/>
        <v>593534.5</v>
      </c>
      <c r="Q163" s="23"/>
      <c r="R163" s="23">
        <f t="shared" si="198"/>
        <v>593534.5</v>
      </c>
      <c r="S163" s="23"/>
      <c r="T163" s="23">
        <f t="shared" si="199"/>
        <v>593534.5</v>
      </c>
      <c r="U163" s="23"/>
      <c r="V163" s="23">
        <f t="shared" si="200"/>
        <v>593534.5</v>
      </c>
      <c r="W163" s="23">
        <f>-549514.3+549514.3</f>
        <v>0</v>
      </c>
      <c r="X163" s="23">
        <f t="shared" si="201"/>
        <v>593534.5</v>
      </c>
      <c r="Y163" s="24"/>
      <c r="Z163" s="70">
        <f t="shared" si="202"/>
        <v>593534.5</v>
      </c>
      <c r="AA163" s="16" t="s">
        <v>273</v>
      </c>
    </row>
    <row r="164" spans="1:28" s="2" customFormat="1" ht="54" hidden="1" x14ac:dyDescent="0.3">
      <c r="A164" s="1" t="s">
        <v>154</v>
      </c>
      <c r="B164" s="4" t="s">
        <v>30</v>
      </c>
      <c r="C164" s="4" t="s">
        <v>292</v>
      </c>
      <c r="D164" s="28">
        <f>D166+D167</f>
        <v>85032.299999999988</v>
      </c>
      <c r="E164" s="23">
        <f>E166+E167</f>
        <v>0</v>
      </c>
      <c r="F164" s="23">
        <f t="shared" si="142"/>
        <v>85032.299999999988</v>
      </c>
      <c r="G164" s="23">
        <f>G166+G167</f>
        <v>6397</v>
      </c>
      <c r="H164" s="23">
        <f t="shared" si="193"/>
        <v>91429.299999999988</v>
      </c>
      <c r="I164" s="23">
        <f>I166+I167</f>
        <v>0</v>
      </c>
      <c r="J164" s="23">
        <f t="shared" si="194"/>
        <v>91429.299999999988</v>
      </c>
      <c r="K164" s="23">
        <f>K166+K167</f>
        <v>-85032.299999999988</v>
      </c>
      <c r="L164" s="23">
        <f t="shared" si="195"/>
        <v>6397</v>
      </c>
      <c r="M164" s="23">
        <f>M166+M167</f>
        <v>0</v>
      </c>
      <c r="N164" s="23">
        <f t="shared" si="196"/>
        <v>6397</v>
      </c>
      <c r="O164" s="23">
        <f>O166+O167</f>
        <v>0</v>
      </c>
      <c r="P164" s="23">
        <f t="shared" si="197"/>
        <v>6397</v>
      </c>
      <c r="Q164" s="23">
        <f>Q166+Q167</f>
        <v>0</v>
      </c>
      <c r="R164" s="23">
        <f t="shared" si="198"/>
        <v>6397</v>
      </c>
      <c r="S164" s="23">
        <f>S166+S167</f>
        <v>0</v>
      </c>
      <c r="T164" s="23">
        <f t="shared" si="199"/>
        <v>6397</v>
      </c>
      <c r="U164" s="23">
        <f>U166+U167</f>
        <v>0</v>
      </c>
      <c r="V164" s="23">
        <f t="shared" si="200"/>
        <v>6397</v>
      </c>
      <c r="W164" s="23">
        <f>W166+W167</f>
        <v>-6397</v>
      </c>
      <c r="X164" s="23">
        <f t="shared" si="201"/>
        <v>0</v>
      </c>
      <c r="Y164" s="24">
        <f>Y166+Y167</f>
        <v>0</v>
      </c>
      <c r="Z164" s="23">
        <f t="shared" si="202"/>
        <v>0</v>
      </c>
      <c r="AA164" s="16"/>
      <c r="AB164" s="6">
        <v>0</v>
      </c>
    </row>
    <row r="165" spans="1:28" s="2" customFormat="1" hidden="1" x14ac:dyDescent="0.3">
      <c r="A165" s="1"/>
      <c r="B165" s="4" t="s">
        <v>2</v>
      </c>
      <c r="C165" s="4"/>
      <c r="D165" s="28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4"/>
      <c r="Z165" s="23"/>
      <c r="AA165" s="16"/>
      <c r="AB165" s="6">
        <v>0</v>
      </c>
    </row>
    <row r="166" spans="1:28" s="2" customFormat="1" hidden="1" x14ac:dyDescent="0.3">
      <c r="A166" s="1"/>
      <c r="B166" s="4" t="s">
        <v>3</v>
      </c>
      <c r="C166" s="4"/>
      <c r="D166" s="28">
        <v>21258.1</v>
      </c>
      <c r="E166" s="23"/>
      <c r="F166" s="23">
        <f t="shared" si="142"/>
        <v>21258.1</v>
      </c>
      <c r="G166" s="23">
        <v>6397</v>
      </c>
      <c r="H166" s="23">
        <f t="shared" ref="H166:H168" si="203">F166+G166</f>
        <v>27655.1</v>
      </c>
      <c r="I166" s="23"/>
      <c r="J166" s="23">
        <f t="shared" ref="J166:J168" si="204">H166+I166</f>
        <v>27655.1</v>
      </c>
      <c r="K166" s="23">
        <v>-21258.1</v>
      </c>
      <c r="L166" s="23">
        <f t="shared" ref="L166:L168" si="205">J166+K166</f>
        <v>6397</v>
      </c>
      <c r="M166" s="23"/>
      <c r="N166" s="23">
        <f t="shared" ref="N166:N168" si="206">L166+M166</f>
        <v>6397</v>
      </c>
      <c r="O166" s="23"/>
      <c r="P166" s="23">
        <f t="shared" ref="P166:P168" si="207">N166+O166</f>
        <v>6397</v>
      </c>
      <c r="Q166" s="23"/>
      <c r="R166" s="23">
        <f t="shared" ref="R166:R168" si="208">P166+Q166</f>
        <v>6397</v>
      </c>
      <c r="S166" s="23"/>
      <c r="T166" s="23">
        <f t="shared" ref="T166:T168" si="209">R166+S166</f>
        <v>6397</v>
      </c>
      <c r="U166" s="23"/>
      <c r="V166" s="23">
        <f t="shared" ref="V166:V168" si="210">T166+U166</f>
        <v>6397</v>
      </c>
      <c r="W166" s="23">
        <v>-6397</v>
      </c>
      <c r="X166" s="23">
        <f t="shared" ref="X166:X168" si="211">V166+W166</f>
        <v>0</v>
      </c>
      <c r="Y166" s="24"/>
      <c r="Z166" s="23">
        <f t="shared" ref="Z166:Z168" si="212">X166+Y166</f>
        <v>0</v>
      </c>
      <c r="AA166" s="16" t="s">
        <v>38</v>
      </c>
      <c r="AB166" s="6">
        <v>0</v>
      </c>
    </row>
    <row r="167" spans="1:28" s="2" customFormat="1" hidden="1" x14ac:dyDescent="0.3">
      <c r="A167" s="1"/>
      <c r="B167" s="4" t="s">
        <v>24</v>
      </c>
      <c r="C167" s="4"/>
      <c r="D167" s="28">
        <v>63774.2</v>
      </c>
      <c r="E167" s="23"/>
      <c r="F167" s="23">
        <f t="shared" si="142"/>
        <v>63774.2</v>
      </c>
      <c r="G167" s="23"/>
      <c r="H167" s="23">
        <f t="shared" si="203"/>
        <v>63774.2</v>
      </c>
      <c r="I167" s="23"/>
      <c r="J167" s="23">
        <f t="shared" si="204"/>
        <v>63774.2</v>
      </c>
      <c r="K167" s="23">
        <v>-63774.2</v>
      </c>
      <c r="L167" s="23">
        <f t="shared" si="205"/>
        <v>0</v>
      </c>
      <c r="M167" s="23"/>
      <c r="N167" s="23">
        <f t="shared" si="206"/>
        <v>0</v>
      </c>
      <c r="O167" s="23"/>
      <c r="P167" s="23">
        <f t="shared" si="207"/>
        <v>0</v>
      </c>
      <c r="Q167" s="23"/>
      <c r="R167" s="23">
        <f t="shared" si="208"/>
        <v>0</v>
      </c>
      <c r="S167" s="23"/>
      <c r="T167" s="23">
        <f t="shared" si="209"/>
        <v>0</v>
      </c>
      <c r="U167" s="23"/>
      <c r="V167" s="23">
        <f t="shared" si="210"/>
        <v>0</v>
      </c>
      <c r="W167" s="23"/>
      <c r="X167" s="23">
        <f t="shared" si="211"/>
        <v>0</v>
      </c>
      <c r="Y167" s="24"/>
      <c r="Z167" s="23">
        <f t="shared" si="212"/>
        <v>0</v>
      </c>
      <c r="AA167" s="16" t="s">
        <v>161</v>
      </c>
      <c r="AB167" s="6">
        <v>0</v>
      </c>
    </row>
    <row r="168" spans="1:28" ht="54" x14ac:dyDescent="0.3">
      <c r="A168" s="64" t="s">
        <v>154</v>
      </c>
      <c r="B168" s="73" t="s">
        <v>31</v>
      </c>
      <c r="C168" s="73" t="s">
        <v>292</v>
      </c>
      <c r="D168" s="28">
        <f>D170+D171</f>
        <v>230000</v>
      </c>
      <c r="E168" s="23">
        <f>E170+E171</f>
        <v>0</v>
      </c>
      <c r="F168" s="23">
        <f t="shared" si="142"/>
        <v>230000</v>
      </c>
      <c r="G168" s="23">
        <f>G170+G171</f>
        <v>31449.631999999998</v>
      </c>
      <c r="H168" s="23">
        <f t="shared" si="203"/>
        <v>261449.63199999998</v>
      </c>
      <c r="I168" s="23">
        <f>I170+I171</f>
        <v>0</v>
      </c>
      <c r="J168" s="23">
        <f t="shared" si="204"/>
        <v>261449.63199999998</v>
      </c>
      <c r="K168" s="23">
        <f>K170+K171</f>
        <v>0</v>
      </c>
      <c r="L168" s="23">
        <f t="shared" si="205"/>
        <v>261449.63199999998</v>
      </c>
      <c r="M168" s="23">
        <f>M170+M171</f>
        <v>0</v>
      </c>
      <c r="N168" s="23">
        <f t="shared" si="206"/>
        <v>261449.63199999998</v>
      </c>
      <c r="O168" s="23">
        <f>O170+O171</f>
        <v>-236250</v>
      </c>
      <c r="P168" s="23">
        <f t="shared" si="207"/>
        <v>25199.631999999983</v>
      </c>
      <c r="Q168" s="23">
        <f>Q170+Q171</f>
        <v>0</v>
      </c>
      <c r="R168" s="23">
        <f t="shared" si="208"/>
        <v>25199.631999999983</v>
      </c>
      <c r="S168" s="23">
        <f>S170+S171</f>
        <v>0</v>
      </c>
      <c r="T168" s="23">
        <f t="shared" si="209"/>
        <v>25199.631999999983</v>
      </c>
      <c r="U168" s="23">
        <f>U170+U171</f>
        <v>0</v>
      </c>
      <c r="V168" s="23">
        <f t="shared" si="210"/>
        <v>25199.631999999983</v>
      </c>
      <c r="W168" s="23">
        <f>W170+W171</f>
        <v>0</v>
      </c>
      <c r="X168" s="23">
        <f t="shared" si="211"/>
        <v>25199.631999999983</v>
      </c>
      <c r="Y168" s="24">
        <f>Y170+Y171</f>
        <v>0</v>
      </c>
      <c r="Z168" s="70">
        <f t="shared" si="212"/>
        <v>25199.631999999983</v>
      </c>
    </row>
    <row r="169" spans="1:28" s="2" customFormat="1" hidden="1" x14ac:dyDescent="0.3">
      <c r="A169" s="1"/>
      <c r="B169" s="4" t="s">
        <v>2</v>
      </c>
      <c r="C169" s="4"/>
      <c r="D169" s="28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4"/>
      <c r="Z169" s="23"/>
      <c r="AA169" s="16"/>
      <c r="AB169" s="6">
        <v>0</v>
      </c>
    </row>
    <row r="170" spans="1:28" s="2" customFormat="1" hidden="1" x14ac:dyDescent="0.3">
      <c r="A170" s="1"/>
      <c r="B170" s="4" t="s">
        <v>3</v>
      </c>
      <c r="C170" s="4"/>
      <c r="D170" s="28">
        <v>57500</v>
      </c>
      <c r="E170" s="23"/>
      <c r="F170" s="23">
        <f t="shared" si="142"/>
        <v>57500</v>
      </c>
      <c r="G170" s="23">
        <f>12699.632+18750</f>
        <v>31449.631999999998</v>
      </c>
      <c r="H170" s="23">
        <f t="shared" ref="H170:H172" si="213">F170+G170</f>
        <v>88949.631999999998</v>
      </c>
      <c r="I170" s="23"/>
      <c r="J170" s="23">
        <f t="shared" ref="J170:J172" si="214">H170+I170</f>
        <v>88949.631999999998</v>
      </c>
      <c r="K170" s="23"/>
      <c r="L170" s="23">
        <f t="shared" ref="L170:L172" si="215">J170+K170</f>
        <v>88949.631999999998</v>
      </c>
      <c r="M170" s="23"/>
      <c r="N170" s="23">
        <f t="shared" ref="N170:N172" si="216">L170+M170</f>
        <v>88949.631999999998</v>
      </c>
      <c r="O170" s="23">
        <v>-63750</v>
      </c>
      <c r="P170" s="23">
        <f t="shared" ref="P170:P172" si="217">N170+O170</f>
        <v>25199.631999999998</v>
      </c>
      <c r="Q170" s="23"/>
      <c r="R170" s="23">
        <f t="shared" ref="R170:R172" si="218">P170+Q170</f>
        <v>25199.631999999998</v>
      </c>
      <c r="S170" s="23"/>
      <c r="T170" s="23">
        <f t="shared" ref="T170:T172" si="219">R170+S170</f>
        <v>25199.631999999998</v>
      </c>
      <c r="U170" s="23"/>
      <c r="V170" s="23">
        <f t="shared" ref="V170:V172" si="220">T170+U170</f>
        <v>25199.631999999998</v>
      </c>
      <c r="W170" s="23"/>
      <c r="X170" s="23">
        <f t="shared" ref="X170:X172" si="221">V170+W170</f>
        <v>25199.631999999998</v>
      </c>
      <c r="Y170" s="24"/>
      <c r="Z170" s="23">
        <f t="shared" ref="Z170:Z172" si="222">X170+Y170</f>
        <v>25199.631999999998</v>
      </c>
      <c r="AA170" s="16" t="s">
        <v>200</v>
      </c>
      <c r="AB170" s="6">
        <v>0</v>
      </c>
    </row>
    <row r="171" spans="1:28" s="2" customFormat="1" hidden="1" x14ac:dyDescent="0.3">
      <c r="A171" s="1"/>
      <c r="B171" s="4" t="s">
        <v>24</v>
      </c>
      <c r="C171" s="4"/>
      <c r="D171" s="28">
        <v>172500</v>
      </c>
      <c r="E171" s="23"/>
      <c r="F171" s="23">
        <f t="shared" si="142"/>
        <v>172500</v>
      </c>
      <c r="G171" s="23"/>
      <c r="H171" s="23">
        <f t="shared" si="213"/>
        <v>172500</v>
      </c>
      <c r="I171" s="23"/>
      <c r="J171" s="23">
        <f t="shared" si="214"/>
        <v>172500</v>
      </c>
      <c r="K171" s="23"/>
      <c r="L171" s="23">
        <f t="shared" si="215"/>
        <v>172500</v>
      </c>
      <c r="M171" s="23"/>
      <c r="N171" s="23">
        <f t="shared" si="216"/>
        <v>172500</v>
      </c>
      <c r="O171" s="23">
        <v>-172500</v>
      </c>
      <c r="P171" s="23">
        <f t="shared" si="217"/>
        <v>0</v>
      </c>
      <c r="Q171" s="23"/>
      <c r="R171" s="23">
        <f t="shared" si="218"/>
        <v>0</v>
      </c>
      <c r="S171" s="23"/>
      <c r="T171" s="23">
        <f t="shared" si="219"/>
        <v>0</v>
      </c>
      <c r="U171" s="23"/>
      <c r="V171" s="23">
        <f t="shared" si="220"/>
        <v>0</v>
      </c>
      <c r="W171" s="23"/>
      <c r="X171" s="23">
        <f t="shared" si="221"/>
        <v>0</v>
      </c>
      <c r="Y171" s="24"/>
      <c r="Z171" s="23">
        <f t="shared" si="222"/>
        <v>0</v>
      </c>
      <c r="AA171" s="16" t="s">
        <v>161</v>
      </c>
      <c r="AB171" s="6">
        <v>0</v>
      </c>
    </row>
    <row r="172" spans="1:28" ht="54" x14ac:dyDescent="0.3">
      <c r="A172" s="64" t="s">
        <v>155</v>
      </c>
      <c r="B172" s="73" t="s">
        <v>37</v>
      </c>
      <c r="C172" s="73" t="s">
        <v>292</v>
      </c>
      <c r="D172" s="28">
        <f>D174+D175</f>
        <v>100000</v>
      </c>
      <c r="E172" s="23">
        <f>E174+E175</f>
        <v>0</v>
      </c>
      <c r="F172" s="23">
        <f t="shared" si="142"/>
        <v>100000</v>
      </c>
      <c r="G172" s="23">
        <f>G174+G175</f>
        <v>10376.956</v>
      </c>
      <c r="H172" s="23">
        <f t="shared" si="213"/>
        <v>110376.95600000001</v>
      </c>
      <c r="I172" s="23">
        <f>I174+I175</f>
        <v>0</v>
      </c>
      <c r="J172" s="23">
        <f t="shared" si="214"/>
        <v>110376.95600000001</v>
      </c>
      <c r="K172" s="23">
        <f>K174+K175</f>
        <v>0</v>
      </c>
      <c r="L172" s="23">
        <f t="shared" si="215"/>
        <v>110376.95600000001</v>
      </c>
      <c r="M172" s="23">
        <f>M174+M175</f>
        <v>0</v>
      </c>
      <c r="N172" s="23">
        <f t="shared" si="216"/>
        <v>110376.95600000001</v>
      </c>
      <c r="O172" s="23">
        <f>O174+O175</f>
        <v>-102856.3</v>
      </c>
      <c r="P172" s="23">
        <f t="shared" si="217"/>
        <v>7520.6560000000027</v>
      </c>
      <c r="Q172" s="23">
        <f>Q174+Q175</f>
        <v>0</v>
      </c>
      <c r="R172" s="23">
        <f t="shared" si="218"/>
        <v>7520.6560000000027</v>
      </c>
      <c r="S172" s="23">
        <f>S174+S175</f>
        <v>0</v>
      </c>
      <c r="T172" s="23">
        <f t="shared" si="219"/>
        <v>7520.6560000000027</v>
      </c>
      <c r="U172" s="23">
        <f>U174+U175</f>
        <v>0</v>
      </c>
      <c r="V172" s="23">
        <f t="shared" si="220"/>
        <v>7520.6560000000027</v>
      </c>
      <c r="W172" s="23">
        <f>W174+W175</f>
        <v>0</v>
      </c>
      <c r="X172" s="23">
        <f t="shared" si="221"/>
        <v>7520.6560000000027</v>
      </c>
      <c r="Y172" s="24">
        <f>Y174+Y175</f>
        <v>0</v>
      </c>
      <c r="Z172" s="70">
        <f t="shared" si="222"/>
        <v>7520.6560000000027</v>
      </c>
    </row>
    <row r="173" spans="1:28" s="2" customFormat="1" hidden="1" x14ac:dyDescent="0.3">
      <c r="A173" s="1"/>
      <c r="B173" s="4" t="s">
        <v>2</v>
      </c>
      <c r="C173" s="4"/>
      <c r="D173" s="28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4"/>
      <c r="Z173" s="23"/>
      <c r="AA173" s="16"/>
      <c r="AB173" s="6">
        <v>0</v>
      </c>
    </row>
    <row r="174" spans="1:28" s="2" customFormat="1" hidden="1" x14ac:dyDescent="0.3">
      <c r="A174" s="1"/>
      <c r="B174" s="4" t="s">
        <v>3</v>
      </c>
      <c r="C174" s="4"/>
      <c r="D174" s="28">
        <v>25000</v>
      </c>
      <c r="E174" s="23"/>
      <c r="F174" s="23">
        <f t="shared" si="142"/>
        <v>25000</v>
      </c>
      <c r="G174" s="23">
        <f>7520.656+2856.3</f>
        <v>10376.956</v>
      </c>
      <c r="H174" s="23">
        <f t="shared" ref="H174:H176" si="223">F174+G174</f>
        <v>35376.955999999998</v>
      </c>
      <c r="I174" s="23"/>
      <c r="J174" s="23">
        <f t="shared" ref="J174:J176" si="224">H174+I174</f>
        <v>35376.955999999998</v>
      </c>
      <c r="K174" s="23"/>
      <c r="L174" s="23">
        <f t="shared" ref="L174:L176" si="225">J174+K174</f>
        <v>35376.955999999998</v>
      </c>
      <c r="M174" s="23"/>
      <c r="N174" s="23">
        <f t="shared" ref="N174:N176" si="226">L174+M174</f>
        <v>35376.955999999998</v>
      </c>
      <c r="O174" s="23">
        <v>-27856.3</v>
      </c>
      <c r="P174" s="23">
        <f t="shared" ref="P174:P176" si="227">N174+O174</f>
        <v>7520.655999999999</v>
      </c>
      <c r="Q174" s="23"/>
      <c r="R174" s="23">
        <f t="shared" ref="R174:R176" si="228">P174+Q174</f>
        <v>7520.655999999999</v>
      </c>
      <c r="S174" s="23"/>
      <c r="T174" s="23">
        <f t="shared" ref="T174:T176" si="229">R174+S174</f>
        <v>7520.655999999999</v>
      </c>
      <c r="U174" s="23"/>
      <c r="V174" s="23">
        <f t="shared" ref="V174:V176" si="230">T174+U174</f>
        <v>7520.655999999999</v>
      </c>
      <c r="W174" s="23"/>
      <c r="X174" s="23">
        <f t="shared" ref="X174:X176" si="231">V174+W174</f>
        <v>7520.655999999999</v>
      </c>
      <c r="Y174" s="24"/>
      <c r="Z174" s="23">
        <f t="shared" ref="Z174:Z176" si="232">X174+Y174</f>
        <v>7520.655999999999</v>
      </c>
      <c r="AA174" s="16" t="s">
        <v>39</v>
      </c>
      <c r="AB174" s="6">
        <v>0</v>
      </c>
    </row>
    <row r="175" spans="1:28" s="2" customFormat="1" hidden="1" x14ac:dyDescent="0.3">
      <c r="A175" s="1"/>
      <c r="B175" s="4" t="s">
        <v>24</v>
      </c>
      <c r="C175" s="4"/>
      <c r="D175" s="28">
        <v>75000</v>
      </c>
      <c r="E175" s="23"/>
      <c r="F175" s="23">
        <f t="shared" si="142"/>
        <v>75000</v>
      </c>
      <c r="G175" s="23"/>
      <c r="H175" s="23">
        <f t="shared" si="223"/>
        <v>75000</v>
      </c>
      <c r="I175" s="23"/>
      <c r="J175" s="23">
        <f t="shared" si="224"/>
        <v>75000</v>
      </c>
      <c r="K175" s="23"/>
      <c r="L175" s="23">
        <f t="shared" si="225"/>
        <v>75000</v>
      </c>
      <c r="M175" s="23"/>
      <c r="N175" s="23">
        <f t="shared" si="226"/>
        <v>75000</v>
      </c>
      <c r="O175" s="23">
        <v>-75000</v>
      </c>
      <c r="P175" s="23">
        <f t="shared" si="227"/>
        <v>0</v>
      </c>
      <c r="Q175" s="23"/>
      <c r="R175" s="23">
        <f t="shared" si="228"/>
        <v>0</v>
      </c>
      <c r="S175" s="23"/>
      <c r="T175" s="23">
        <f t="shared" si="229"/>
        <v>0</v>
      </c>
      <c r="U175" s="23"/>
      <c r="V175" s="23">
        <f t="shared" si="230"/>
        <v>0</v>
      </c>
      <c r="W175" s="23"/>
      <c r="X175" s="23">
        <f t="shared" si="231"/>
        <v>0</v>
      </c>
      <c r="Y175" s="24"/>
      <c r="Z175" s="23">
        <f t="shared" si="232"/>
        <v>0</v>
      </c>
      <c r="AA175" s="16" t="s">
        <v>161</v>
      </c>
      <c r="AB175" s="6">
        <v>0</v>
      </c>
    </row>
    <row r="176" spans="1:28" ht="54" x14ac:dyDescent="0.3">
      <c r="A176" s="64" t="s">
        <v>156</v>
      </c>
      <c r="B176" s="73" t="s">
        <v>163</v>
      </c>
      <c r="C176" s="73" t="s">
        <v>292</v>
      </c>
      <c r="D176" s="23">
        <f>D178+D179</f>
        <v>18048.5</v>
      </c>
      <c r="E176" s="23">
        <f>E178+E179</f>
        <v>0</v>
      </c>
      <c r="F176" s="23">
        <f t="shared" si="142"/>
        <v>18048.5</v>
      </c>
      <c r="G176" s="23">
        <f>G178+G179</f>
        <v>0</v>
      </c>
      <c r="H176" s="23">
        <f t="shared" si="223"/>
        <v>18048.5</v>
      </c>
      <c r="I176" s="23">
        <f>I178+I179</f>
        <v>0</v>
      </c>
      <c r="J176" s="23">
        <f t="shared" si="224"/>
        <v>18048.5</v>
      </c>
      <c r="K176" s="23">
        <f>K178+K179</f>
        <v>0</v>
      </c>
      <c r="L176" s="23">
        <f t="shared" si="225"/>
        <v>18048.5</v>
      </c>
      <c r="M176" s="23">
        <f>M178+M179</f>
        <v>0</v>
      </c>
      <c r="N176" s="23">
        <f t="shared" si="226"/>
        <v>18048.5</v>
      </c>
      <c r="O176" s="23">
        <f>O178+O179</f>
        <v>0</v>
      </c>
      <c r="P176" s="23">
        <f t="shared" si="227"/>
        <v>18048.5</v>
      </c>
      <c r="Q176" s="23">
        <f>Q178+Q179</f>
        <v>0</v>
      </c>
      <c r="R176" s="23">
        <f t="shared" si="228"/>
        <v>18048.5</v>
      </c>
      <c r="S176" s="23">
        <f>S178+S179</f>
        <v>0</v>
      </c>
      <c r="T176" s="23">
        <f t="shared" si="229"/>
        <v>18048.5</v>
      </c>
      <c r="U176" s="23">
        <f>U178+U179</f>
        <v>0</v>
      </c>
      <c r="V176" s="23">
        <f t="shared" si="230"/>
        <v>18048.5</v>
      </c>
      <c r="W176" s="23">
        <f>W178+W179</f>
        <v>0</v>
      </c>
      <c r="X176" s="23">
        <f t="shared" si="231"/>
        <v>18048.5</v>
      </c>
      <c r="Y176" s="24">
        <f>Y178+Y179</f>
        <v>0</v>
      </c>
      <c r="Z176" s="70">
        <f t="shared" si="232"/>
        <v>18048.5</v>
      </c>
    </row>
    <row r="177" spans="1:28" x14ac:dyDescent="0.3">
      <c r="A177" s="64"/>
      <c r="B177" s="73" t="s">
        <v>2</v>
      </c>
      <c r="C177" s="7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4"/>
      <c r="Z177" s="70"/>
    </row>
    <row r="178" spans="1:28" s="2" customFormat="1" hidden="1" x14ac:dyDescent="0.3">
      <c r="A178" s="1"/>
      <c r="B178" s="4" t="s">
        <v>3</v>
      </c>
      <c r="C178" s="4"/>
      <c r="D178" s="23">
        <v>4512.1000000000004</v>
      </c>
      <c r="E178" s="23"/>
      <c r="F178" s="23">
        <f t="shared" si="142"/>
        <v>4512.1000000000004</v>
      </c>
      <c r="G178" s="23"/>
      <c r="H178" s="23">
        <f t="shared" ref="H178:H187" si="233">F178+G178</f>
        <v>4512.1000000000004</v>
      </c>
      <c r="I178" s="23"/>
      <c r="J178" s="23">
        <f t="shared" ref="J178:J187" si="234">H178+I178</f>
        <v>4512.1000000000004</v>
      </c>
      <c r="K178" s="23">
        <v>0.1</v>
      </c>
      <c r="L178" s="23">
        <f t="shared" ref="L178:L187" si="235">J178+K178</f>
        <v>4512.2000000000007</v>
      </c>
      <c r="M178" s="23"/>
      <c r="N178" s="23">
        <f t="shared" ref="N178:N183" si="236">L178+M178</f>
        <v>4512.2000000000007</v>
      </c>
      <c r="O178" s="23"/>
      <c r="P178" s="23">
        <f t="shared" ref="P178:P183" si="237">N178+O178</f>
        <v>4512.2000000000007</v>
      </c>
      <c r="Q178" s="23"/>
      <c r="R178" s="23">
        <f t="shared" ref="R178:R183" si="238">P178+Q178</f>
        <v>4512.2000000000007</v>
      </c>
      <c r="S178" s="23"/>
      <c r="T178" s="23">
        <f t="shared" ref="T178:T183" si="239">R178+S178</f>
        <v>4512.2000000000007</v>
      </c>
      <c r="U178" s="23"/>
      <c r="V178" s="23">
        <f t="shared" ref="V178:V183" si="240">T178+U178</f>
        <v>4512.2000000000007</v>
      </c>
      <c r="W178" s="23"/>
      <c r="X178" s="23">
        <f t="shared" ref="X178:X183" si="241">V178+W178</f>
        <v>4512.2000000000007</v>
      </c>
      <c r="Y178" s="24"/>
      <c r="Z178" s="23">
        <f t="shared" ref="Z178:Z183" si="242">X178+Y178</f>
        <v>4512.2000000000007</v>
      </c>
      <c r="AA178" s="16" t="s">
        <v>40</v>
      </c>
      <c r="AB178" s="6">
        <v>0</v>
      </c>
    </row>
    <row r="179" spans="1:28" x14ac:dyDescent="0.3">
      <c r="A179" s="64"/>
      <c r="B179" s="73" t="s">
        <v>24</v>
      </c>
      <c r="C179" s="73"/>
      <c r="D179" s="23">
        <v>13536.4</v>
      </c>
      <c r="E179" s="23"/>
      <c r="F179" s="23">
        <f t="shared" si="142"/>
        <v>13536.4</v>
      </c>
      <c r="G179" s="23"/>
      <c r="H179" s="23">
        <f t="shared" si="233"/>
        <v>13536.4</v>
      </c>
      <c r="I179" s="23"/>
      <c r="J179" s="23">
        <f t="shared" si="234"/>
        <v>13536.4</v>
      </c>
      <c r="K179" s="23">
        <v>-0.1</v>
      </c>
      <c r="L179" s="23">
        <f t="shared" si="235"/>
        <v>13536.3</v>
      </c>
      <c r="M179" s="23"/>
      <c r="N179" s="23">
        <f t="shared" si="236"/>
        <v>13536.3</v>
      </c>
      <c r="O179" s="23"/>
      <c r="P179" s="23">
        <f t="shared" si="237"/>
        <v>13536.3</v>
      </c>
      <c r="Q179" s="23"/>
      <c r="R179" s="23">
        <f t="shared" si="238"/>
        <v>13536.3</v>
      </c>
      <c r="S179" s="23"/>
      <c r="T179" s="23">
        <f t="shared" si="239"/>
        <v>13536.3</v>
      </c>
      <c r="U179" s="23"/>
      <c r="V179" s="23">
        <f t="shared" si="240"/>
        <v>13536.3</v>
      </c>
      <c r="W179" s="23"/>
      <c r="X179" s="23">
        <f t="shared" si="241"/>
        <v>13536.3</v>
      </c>
      <c r="Y179" s="24"/>
      <c r="Z179" s="70">
        <f t="shared" si="242"/>
        <v>13536.3</v>
      </c>
      <c r="AA179" s="16" t="s">
        <v>161</v>
      </c>
    </row>
    <row r="180" spans="1:28" s="2" customFormat="1" ht="54" hidden="1" x14ac:dyDescent="0.3">
      <c r="A180" s="1" t="s">
        <v>156</v>
      </c>
      <c r="B180" s="4" t="s">
        <v>298</v>
      </c>
      <c r="C180" s="4" t="s">
        <v>292</v>
      </c>
      <c r="D180" s="23">
        <v>5527</v>
      </c>
      <c r="E180" s="23"/>
      <c r="F180" s="23">
        <f t="shared" si="142"/>
        <v>5527</v>
      </c>
      <c r="G180" s="23"/>
      <c r="H180" s="23">
        <f t="shared" si="233"/>
        <v>5527</v>
      </c>
      <c r="I180" s="23"/>
      <c r="J180" s="23">
        <f t="shared" si="234"/>
        <v>5527</v>
      </c>
      <c r="K180" s="23"/>
      <c r="L180" s="23">
        <f t="shared" si="235"/>
        <v>5527</v>
      </c>
      <c r="M180" s="23"/>
      <c r="N180" s="23">
        <f t="shared" si="236"/>
        <v>5527</v>
      </c>
      <c r="O180" s="23">
        <v>-5527</v>
      </c>
      <c r="P180" s="23">
        <f t="shared" si="237"/>
        <v>0</v>
      </c>
      <c r="Q180" s="23"/>
      <c r="R180" s="23">
        <f t="shared" si="238"/>
        <v>0</v>
      </c>
      <c r="S180" s="23"/>
      <c r="T180" s="23">
        <f t="shared" si="239"/>
        <v>0</v>
      </c>
      <c r="U180" s="23"/>
      <c r="V180" s="23">
        <f t="shared" si="240"/>
        <v>0</v>
      </c>
      <c r="W180" s="23"/>
      <c r="X180" s="23">
        <f t="shared" si="241"/>
        <v>0</v>
      </c>
      <c r="Y180" s="24"/>
      <c r="Z180" s="23">
        <f t="shared" si="242"/>
        <v>0</v>
      </c>
      <c r="AA180" s="16" t="s">
        <v>41</v>
      </c>
      <c r="AB180" s="6">
        <v>0</v>
      </c>
    </row>
    <row r="181" spans="1:28" s="2" customFormat="1" ht="102" hidden="1" customHeight="1" x14ac:dyDescent="0.3">
      <c r="A181" s="1" t="s">
        <v>137</v>
      </c>
      <c r="B181" s="4" t="s">
        <v>167</v>
      </c>
      <c r="C181" s="4" t="s">
        <v>292</v>
      </c>
      <c r="D181" s="23">
        <v>1767</v>
      </c>
      <c r="E181" s="23"/>
      <c r="F181" s="23">
        <f t="shared" si="142"/>
        <v>1767</v>
      </c>
      <c r="G181" s="23"/>
      <c r="H181" s="23">
        <f t="shared" si="233"/>
        <v>1767</v>
      </c>
      <c r="I181" s="23"/>
      <c r="J181" s="23">
        <f t="shared" si="234"/>
        <v>1767</v>
      </c>
      <c r="K181" s="23"/>
      <c r="L181" s="23">
        <f t="shared" si="235"/>
        <v>1767</v>
      </c>
      <c r="M181" s="23"/>
      <c r="N181" s="23">
        <f t="shared" si="236"/>
        <v>1767</v>
      </c>
      <c r="O181" s="23">
        <v>-1767</v>
      </c>
      <c r="P181" s="23">
        <f t="shared" si="237"/>
        <v>0</v>
      </c>
      <c r="Q181" s="23"/>
      <c r="R181" s="23">
        <f t="shared" si="238"/>
        <v>0</v>
      </c>
      <c r="S181" s="23"/>
      <c r="T181" s="23">
        <f t="shared" si="239"/>
        <v>0</v>
      </c>
      <c r="U181" s="23"/>
      <c r="V181" s="23">
        <f t="shared" si="240"/>
        <v>0</v>
      </c>
      <c r="W181" s="23"/>
      <c r="X181" s="23">
        <f t="shared" si="241"/>
        <v>0</v>
      </c>
      <c r="Y181" s="24"/>
      <c r="Z181" s="23">
        <f t="shared" si="242"/>
        <v>0</v>
      </c>
      <c r="AA181" s="16" t="s">
        <v>42</v>
      </c>
      <c r="AB181" s="6">
        <v>0</v>
      </c>
    </row>
    <row r="182" spans="1:28" s="2" customFormat="1" ht="54" hidden="1" x14ac:dyDescent="0.3">
      <c r="A182" s="1" t="s">
        <v>157</v>
      </c>
      <c r="B182" s="4" t="s">
        <v>164</v>
      </c>
      <c r="C182" s="4" t="s">
        <v>292</v>
      </c>
      <c r="D182" s="23">
        <v>17756.599999999999</v>
      </c>
      <c r="E182" s="23"/>
      <c r="F182" s="23">
        <f t="shared" si="142"/>
        <v>17756.599999999999</v>
      </c>
      <c r="G182" s="23"/>
      <c r="H182" s="23">
        <f t="shared" si="233"/>
        <v>17756.599999999999</v>
      </c>
      <c r="I182" s="23"/>
      <c r="J182" s="23">
        <f t="shared" si="234"/>
        <v>17756.599999999999</v>
      </c>
      <c r="K182" s="23"/>
      <c r="L182" s="23">
        <f t="shared" si="235"/>
        <v>17756.599999999999</v>
      </c>
      <c r="M182" s="23"/>
      <c r="N182" s="23">
        <f t="shared" si="236"/>
        <v>17756.599999999999</v>
      </c>
      <c r="O182" s="23">
        <v>-17756.599999999999</v>
      </c>
      <c r="P182" s="23">
        <f t="shared" si="237"/>
        <v>0</v>
      </c>
      <c r="Q182" s="23"/>
      <c r="R182" s="23">
        <f t="shared" si="238"/>
        <v>0</v>
      </c>
      <c r="S182" s="23"/>
      <c r="T182" s="23">
        <f t="shared" si="239"/>
        <v>0</v>
      </c>
      <c r="U182" s="23"/>
      <c r="V182" s="23">
        <f t="shared" si="240"/>
        <v>0</v>
      </c>
      <c r="W182" s="23"/>
      <c r="X182" s="23">
        <f t="shared" si="241"/>
        <v>0</v>
      </c>
      <c r="Y182" s="24"/>
      <c r="Z182" s="23">
        <f t="shared" si="242"/>
        <v>0</v>
      </c>
      <c r="AA182" s="16">
        <v>1020141480</v>
      </c>
      <c r="AB182" s="6">
        <v>0</v>
      </c>
    </row>
    <row r="183" spans="1:28" s="2" customFormat="1" ht="54" hidden="1" x14ac:dyDescent="0.3">
      <c r="A183" s="1" t="s">
        <v>203</v>
      </c>
      <c r="B183" s="4" t="s">
        <v>165</v>
      </c>
      <c r="C183" s="4" t="s">
        <v>292</v>
      </c>
      <c r="D183" s="23">
        <v>4659</v>
      </c>
      <c r="E183" s="23"/>
      <c r="F183" s="23">
        <f t="shared" si="142"/>
        <v>4659</v>
      </c>
      <c r="G183" s="23"/>
      <c r="H183" s="23">
        <f t="shared" si="233"/>
        <v>4659</v>
      </c>
      <c r="I183" s="23"/>
      <c r="J183" s="23">
        <f>H183+I183</f>
        <v>4659</v>
      </c>
      <c r="K183" s="23">
        <f>K185+K186</f>
        <v>13977</v>
      </c>
      <c r="L183" s="23">
        <f t="shared" si="235"/>
        <v>18636</v>
      </c>
      <c r="M183" s="23">
        <f>M185+M186</f>
        <v>0</v>
      </c>
      <c r="N183" s="23">
        <f t="shared" si="236"/>
        <v>18636</v>
      </c>
      <c r="O183" s="23">
        <f>O185+O186</f>
        <v>-18636</v>
      </c>
      <c r="P183" s="23">
        <f t="shared" si="237"/>
        <v>0</v>
      </c>
      <c r="Q183" s="23">
        <f>Q185+Q186</f>
        <v>0</v>
      </c>
      <c r="R183" s="23">
        <f t="shared" si="238"/>
        <v>0</v>
      </c>
      <c r="S183" s="23">
        <f>S185+S186</f>
        <v>0</v>
      </c>
      <c r="T183" s="23">
        <f t="shared" si="239"/>
        <v>0</v>
      </c>
      <c r="U183" s="23">
        <f>U185+U186</f>
        <v>0</v>
      </c>
      <c r="V183" s="23">
        <f t="shared" si="240"/>
        <v>0</v>
      </c>
      <c r="W183" s="23">
        <f>W185+W186</f>
        <v>0</v>
      </c>
      <c r="X183" s="23">
        <f t="shared" si="241"/>
        <v>0</v>
      </c>
      <c r="Y183" s="24">
        <f>Y185+Y186</f>
        <v>0</v>
      </c>
      <c r="Z183" s="23">
        <f t="shared" si="242"/>
        <v>0</v>
      </c>
      <c r="AA183" s="16"/>
      <c r="AB183" s="6">
        <v>0</v>
      </c>
    </row>
    <row r="184" spans="1:28" s="2" customFormat="1" hidden="1" x14ac:dyDescent="0.3">
      <c r="A184" s="1"/>
      <c r="B184" s="4" t="s">
        <v>2</v>
      </c>
      <c r="C184" s="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4"/>
      <c r="Z184" s="23"/>
      <c r="AA184" s="16"/>
      <c r="AB184" s="6">
        <v>0</v>
      </c>
    </row>
    <row r="185" spans="1:28" s="2" customFormat="1" hidden="1" x14ac:dyDescent="0.3">
      <c r="A185" s="1"/>
      <c r="B185" s="4" t="s">
        <v>3</v>
      </c>
      <c r="C185" s="4"/>
      <c r="D185" s="23">
        <v>4659</v>
      </c>
      <c r="E185" s="23"/>
      <c r="F185" s="23">
        <f t="shared" si="142"/>
        <v>4659</v>
      </c>
      <c r="G185" s="23"/>
      <c r="H185" s="23">
        <f t="shared" si="233"/>
        <v>4659</v>
      </c>
      <c r="I185" s="23"/>
      <c r="J185" s="23">
        <f t="shared" ref="J185" si="243">H185+I185</f>
        <v>4659</v>
      </c>
      <c r="K185" s="23">
        <f>-4659+4659</f>
        <v>0</v>
      </c>
      <c r="L185" s="23">
        <f t="shared" si="235"/>
        <v>4659</v>
      </c>
      <c r="M185" s="23"/>
      <c r="N185" s="23">
        <f t="shared" ref="N185:N187" si="244">L185+M185</f>
        <v>4659</v>
      </c>
      <c r="O185" s="23">
        <v>-4659</v>
      </c>
      <c r="P185" s="23">
        <f t="shared" ref="P185:P187" si="245">N185+O185</f>
        <v>0</v>
      </c>
      <c r="Q185" s="23"/>
      <c r="R185" s="23">
        <f t="shared" ref="R185:R187" si="246">P185+Q185</f>
        <v>0</v>
      </c>
      <c r="S185" s="23"/>
      <c r="T185" s="23">
        <f t="shared" ref="T185:T187" si="247">R185+S185</f>
        <v>0</v>
      </c>
      <c r="U185" s="23"/>
      <c r="V185" s="23">
        <f t="shared" ref="V185:V187" si="248">T185+U185</f>
        <v>0</v>
      </c>
      <c r="W185" s="23"/>
      <c r="X185" s="23">
        <f t="shared" ref="X185:X187" si="249">V185+W185</f>
        <v>0</v>
      </c>
      <c r="Y185" s="24"/>
      <c r="Z185" s="23">
        <f t="shared" ref="Z185:Z187" si="250">X185+Y185</f>
        <v>0</v>
      </c>
      <c r="AA185" s="16" t="s">
        <v>242</v>
      </c>
      <c r="AB185" s="6">
        <v>0</v>
      </c>
    </row>
    <row r="186" spans="1:28" s="2" customFormat="1" hidden="1" x14ac:dyDescent="0.3">
      <c r="A186" s="1"/>
      <c r="B186" s="4" t="s">
        <v>24</v>
      </c>
      <c r="C186" s="4"/>
      <c r="D186" s="23"/>
      <c r="E186" s="23"/>
      <c r="F186" s="23"/>
      <c r="G186" s="23"/>
      <c r="H186" s="23"/>
      <c r="I186" s="23"/>
      <c r="J186" s="23"/>
      <c r="K186" s="23">
        <v>13977</v>
      </c>
      <c r="L186" s="23">
        <f t="shared" si="235"/>
        <v>13977</v>
      </c>
      <c r="M186" s="23"/>
      <c r="N186" s="23">
        <f t="shared" si="244"/>
        <v>13977</v>
      </c>
      <c r="O186" s="23">
        <v>-13977</v>
      </c>
      <c r="P186" s="23">
        <f t="shared" si="245"/>
        <v>0</v>
      </c>
      <c r="Q186" s="23"/>
      <c r="R186" s="23">
        <f t="shared" si="246"/>
        <v>0</v>
      </c>
      <c r="S186" s="23"/>
      <c r="T186" s="23">
        <f t="shared" si="247"/>
        <v>0</v>
      </c>
      <c r="U186" s="23"/>
      <c r="V186" s="23">
        <f t="shared" si="248"/>
        <v>0</v>
      </c>
      <c r="W186" s="23"/>
      <c r="X186" s="23">
        <f t="shared" si="249"/>
        <v>0</v>
      </c>
      <c r="Y186" s="24"/>
      <c r="Z186" s="23">
        <f t="shared" si="250"/>
        <v>0</v>
      </c>
      <c r="AA186" s="16"/>
      <c r="AB186" s="6">
        <v>0</v>
      </c>
    </row>
    <row r="187" spans="1:28" s="2" customFormat="1" ht="54" hidden="1" x14ac:dyDescent="0.3">
      <c r="A187" s="1" t="s">
        <v>204</v>
      </c>
      <c r="B187" s="4" t="s">
        <v>166</v>
      </c>
      <c r="C187" s="4" t="s">
        <v>292</v>
      </c>
      <c r="D187" s="23">
        <f>D189</f>
        <v>2079</v>
      </c>
      <c r="E187" s="23">
        <f>E189+E190</f>
        <v>75000</v>
      </c>
      <c r="F187" s="23">
        <f t="shared" si="142"/>
        <v>77079</v>
      </c>
      <c r="G187" s="23">
        <f>G189+G190</f>
        <v>25000</v>
      </c>
      <c r="H187" s="23">
        <f t="shared" si="233"/>
        <v>102079</v>
      </c>
      <c r="I187" s="23">
        <f>I189+I190</f>
        <v>0</v>
      </c>
      <c r="J187" s="23">
        <f t="shared" si="234"/>
        <v>102079</v>
      </c>
      <c r="K187" s="23">
        <f>K189+K190</f>
        <v>-21017</v>
      </c>
      <c r="L187" s="23">
        <f t="shared" si="235"/>
        <v>81062</v>
      </c>
      <c r="M187" s="23">
        <f>M189+M190</f>
        <v>0</v>
      </c>
      <c r="N187" s="23">
        <f t="shared" si="244"/>
        <v>81062</v>
      </c>
      <c r="O187" s="23">
        <f>O189+O190</f>
        <v>-81062</v>
      </c>
      <c r="P187" s="23">
        <f t="shared" si="245"/>
        <v>0</v>
      </c>
      <c r="Q187" s="23">
        <f>Q189+Q190</f>
        <v>0</v>
      </c>
      <c r="R187" s="23">
        <f t="shared" si="246"/>
        <v>0</v>
      </c>
      <c r="S187" s="23">
        <f>S189+S190</f>
        <v>0</v>
      </c>
      <c r="T187" s="23">
        <f t="shared" si="247"/>
        <v>0</v>
      </c>
      <c r="U187" s="23">
        <f>U189+U190</f>
        <v>0</v>
      </c>
      <c r="V187" s="23">
        <f t="shared" si="248"/>
        <v>0</v>
      </c>
      <c r="W187" s="23">
        <f>W189+W190</f>
        <v>0</v>
      </c>
      <c r="X187" s="23">
        <f t="shared" si="249"/>
        <v>0</v>
      </c>
      <c r="Y187" s="24">
        <f>Y189+Y190</f>
        <v>0</v>
      </c>
      <c r="Z187" s="23">
        <f t="shared" si="250"/>
        <v>0</v>
      </c>
      <c r="AA187" s="16"/>
      <c r="AB187" s="6">
        <v>0</v>
      </c>
    </row>
    <row r="188" spans="1:28" s="2" customFormat="1" hidden="1" x14ac:dyDescent="0.3">
      <c r="A188" s="1"/>
      <c r="B188" s="4" t="s">
        <v>2</v>
      </c>
      <c r="C188" s="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4"/>
      <c r="Z188" s="23"/>
      <c r="AA188" s="16"/>
      <c r="AB188" s="6">
        <v>0</v>
      </c>
    </row>
    <row r="189" spans="1:28" s="2" customFormat="1" hidden="1" x14ac:dyDescent="0.3">
      <c r="A189" s="1"/>
      <c r="B189" s="4" t="s">
        <v>3</v>
      </c>
      <c r="C189" s="4"/>
      <c r="D189" s="23">
        <v>2079</v>
      </c>
      <c r="E189" s="23">
        <v>0</v>
      </c>
      <c r="F189" s="23">
        <f t="shared" si="142"/>
        <v>2079</v>
      </c>
      <c r="G189" s="23">
        <v>25000</v>
      </c>
      <c r="H189" s="23">
        <f t="shared" ref="H189:H212" si="251">F189+G189</f>
        <v>27079</v>
      </c>
      <c r="I189" s="23"/>
      <c r="J189" s="23">
        <f t="shared" ref="J189" si="252">H189+I189</f>
        <v>27079</v>
      </c>
      <c r="K189" s="23">
        <v>-1760</v>
      </c>
      <c r="L189" s="23">
        <f t="shared" ref="L189" si="253">J189+K189</f>
        <v>25319</v>
      </c>
      <c r="M189" s="23"/>
      <c r="N189" s="23">
        <f t="shared" ref="N189" si="254">L189+M189</f>
        <v>25319</v>
      </c>
      <c r="O189" s="23">
        <f>-2079-23240</f>
        <v>-25319</v>
      </c>
      <c r="P189" s="23">
        <f t="shared" ref="P189" si="255">N189+O189</f>
        <v>0</v>
      </c>
      <c r="Q189" s="23"/>
      <c r="R189" s="23">
        <f t="shared" ref="R189" si="256">P189+Q189</f>
        <v>0</v>
      </c>
      <c r="S189" s="23"/>
      <c r="T189" s="23">
        <f t="shared" ref="T189" si="257">R189+S189</f>
        <v>0</v>
      </c>
      <c r="U189" s="23"/>
      <c r="V189" s="23">
        <f t="shared" ref="V189" si="258">T189+U189</f>
        <v>0</v>
      </c>
      <c r="W189" s="23"/>
      <c r="X189" s="23">
        <f t="shared" ref="X189" si="259">V189+W189</f>
        <v>0</v>
      </c>
      <c r="Y189" s="24"/>
      <c r="Z189" s="23">
        <f t="shared" ref="Z189" si="260">X189+Y189</f>
        <v>0</v>
      </c>
      <c r="AA189" s="16" t="s">
        <v>230</v>
      </c>
      <c r="AB189" s="6">
        <v>0</v>
      </c>
    </row>
    <row r="190" spans="1:28" s="2" customFormat="1" hidden="1" x14ac:dyDescent="0.3">
      <c r="A190" s="1"/>
      <c r="B190" s="4" t="s">
        <v>24</v>
      </c>
      <c r="C190" s="4"/>
      <c r="D190" s="23">
        <v>0</v>
      </c>
      <c r="E190" s="23">
        <v>75000</v>
      </c>
      <c r="F190" s="23">
        <f t="shared" si="142"/>
        <v>75000</v>
      </c>
      <c r="G190" s="23"/>
      <c r="H190" s="23">
        <f>F190+G190</f>
        <v>75000</v>
      </c>
      <c r="I190" s="23"/>
      <c r="J190" s="23">
        <f>H190+I190</f>
        <v>75000</v>
      </c>
      <c r="K190" s="23">
        <v>-19257</v>
      </c>
      <c r="L190" s="23">
        <f>J190+K190</f>
        <v>55743</v>
      </c>
      <c r="M190" s="23"/>
      <c r="N190" s="23">
        <f>L190+M190</f>
        <v>55743</v>
      </c>
      <c r="O190" s="23">
        <v>-55743</v>
      </c>
      <c r="P190" s="23">
        <f>N190+O190</f>
        <v>0</v>
      </c>
      <c r="Q190" s="23"/>
      <c r="R190" s="23">
        <f>P190+Q190</f>
        <v>0</v>
      </c>
      <c r="S190" s="23"/>
      <c r="T190" s="23">
        <f>R190+S190</f>
        <v>0</v>
      </c>
      <c r="U190" s="23"/>
      <c r="V190" s="23">
        <f>T190+U190</f>
        <v>0</v>
      </c>
      <c r="W190" s="23"/>
      <c r="X190" s="23">
        <f>V190+W190</f>
        <v>0</v>
      </c>
      <c r="Y190" s="24"/>
      <c r="Z190" s="23">
        <f>X190+Y190</f>
        <v>0</v>
      </c>
      <c r="AA190" s="16" t="s">
        <v>161</v>
      </c>
      <c r="AB190" s="6">
        <v>0</v>
      </c>
    </row>
    <row r="191" spans="1:28" s="2" customFormat="1" ht="54" hidden="1" x14ac:dyDescent="0.3">
      <c r="A191" s="1" t="s">
        <v>156</v>
      </c>
      <c r="B191" s="4" t="s">
        <v>186</v>
      </c>
      <c r="C191" s="4" t="s">
        <v>292</v>
      </c>
      <c r="D191" s="23"/>
      <c r="E191" s="23"/>
      <c r="F191" s="23"/>
      <c r="G191" s="23">
        <v>1213.567</v>
      </c>
      <c r="H191" s="23">
        <f t="shared" ref="H191:H195" si="261">F191+G191</f>
        <v>1213.567</v>
      </c>
      <c r="I191" s="23"/>
      <c r="J191" s="23">
        <f t="shared" ref="J191:J212" si="262">H191+I191</f>
        <v>1213.567</v>
      </c>
      <c r="K191" s="23"/>
      <c r="L191" s="23">
        <f t="shared" ref="L191:L212" si="263">J191+K191</f>
        <v>1213.567</v>
      </c>
      <c r="M191" s="23"/>
      <c r="N191" s="23">
        <f t="shared" ref="N191:N196" si="264">L191+M191</f>
        <v>1213.567</v>
      </c>
      <c r="O191" s="23"/>
      <c r="P191" s="23">
        <f t="shared" ref="P191:P196" si="265">N191+O191</f>
        <v>1213.567</v>
      </c>
      <c r="Q191" s="23"/>
      <c r="R191" s="23">
        <f t="shared" ref="R191:R196" si="266">P191+Q191</f>
        <v>1213.567</v>
      </c>
      <c r="S191" s="23">
        <v>-1213.567</v>
      </c>
      <c r="T191" s="23">
        <f t="shared" ref="T191:T196" si="267">R191+S191</f>
        <v>0</v>
      </c>
      <c r="U191" s="23"/>
      <c r="V191" s="23">
        <f t="shared" ref="V191:V196" si="268">T191+U191</f>
        <v>0</v>
      </c>
      <c r="W191" s="23"/>
      <c r="X191" s="23">
        <f t="shared" ref="X191:X196" si="269">V191+W191</f>
        <v>0</v>
      </c>
      <c r="Y191" s="24"/>
      <c r="Z191" s="23">
        <f t="shared" ref="Z191:Z196" si="270">X191+Y191</f>
        <v>0</v>
      </c>
      <c r="AA191" s="16" t="s">
        <v>189</v>
      </c>
      <c r="AB191" s="6">
        <v>0</v>
      </c>
    </row>
    <row r="192" spans="1:28" s="2" customFormat="1" ht="72" hidden="1" x14ac:dyDescent="0.3">
      <c r="A192" s="1" t="s">
        <v>205</v>
      </c>
      <c r="B192" s="4" t="s">
        <v>187</v>
      </c>
      <c r="C192" s="4" t="s">
        <v>292</v>
      </c>
      <c r="D192" s="23"/>
      <c r="E192" s="23"/>
      <c r="F192" s="23"/>
      <c r="G192" s="23">
        <v>5305</v>
      </c>
      <c r="H192" s="23">
        <f t="shared" si="261"/>
        <v>5305</v>
      </c>
      <c r="I192" s="23"/>
      <c r="J192" s="23">
        <f t="shared" si="262"/>
        <v>5305</v>
      </c>
      <c r="K192" s="23"/>
      <c r="L192" s="23">
        <f t="shared" si="263"/>
        <v>5305</v>
      </c>
      <c r="M192" s="23"/>
      <c r="N192" s="23">
        <f t="shared" si="264"/>
        <v>5305</v>
      </c>
      <c r="O192" s="23">
        <v>-5305</v>
      </c>
      <c r="P192" s="23">
        <f t="shared" si="265"/>
        <v>0</v>
      </c>
      <c r="Q192" s="23"/>
      <c r="R192" s="23">
        <f t="shared" si="266"/>
        <v>0</v>
      </c>
      <c r="S192" s="23"/>
      <c r="T192" s="23">
        <f t="shared" si="267"/>
        <v>0</v>
      </c>
      <c r="U192" s="23"/>
      <c r="V192" s="23">
        <f t="shared" si="268"/>
        <v>0</v>
      </c>
      <c r="W192" s="23"/>
      <c r="X192" s="23">
        <f t="shared" si="269"/>
        <v>0</v>
      </c>
      <c r="Y192" s="24"/>
      <c r="Z192" s="23">
        <f t="shared" si="270"/>
        <v>0</v>
      </c>
      <c r="AA192" s="16" t="s">
        <v>190</v>
      </c>
      <c r="AB192" s="6">
        <v>0</v>
      </c>
    </row>
    <row r="193" spans="1:28" ht="54" x14ac:dyDescent="0.3">
      <c r="A193" s="64" t="s">
        <v>137</v>
      </c>
      <c r="B193" s="73" t="s">
        <v>188</v>
      </c>
      <c r="C193" s="73" t="s">
        <v>292</v>
      </c>
      <c r="D193" s="23"/>
      <c r="E193" s="23"/>
      <c r="F193" s="23"/>
      <c r="G193" s="23">
        <v>2351.5</v>
      </c>
      <c r="H193" s="23">
        <f t="shared" si="261"/>
        <v>2351.5</v>
      </c>
      <c r="I193" s="23"/>
      <c r="J193" s="23">
        <f t="shared" si="262"/>
        <v>2351.5</v>
      </c>
      <c r="K193" s="23"/>
      <c r="L193" s="23">
        <f t="shared" si="263"/>
        <v>2351.5</v>
      </c>
      <c r="M193" s="23"/>
      <c r="N193" s="23">
        <f t="shared" si="264"/>
        <v>2351.5</v>
      </c>
      <c r="O193" s="23"/>
      <c r="P193" s="23">
        <f t="shared" si="265"/>
        <v>2351.5</v>
      </c>
      <c r="Q193" s="23"/>
      <c r="R193" s="23">
        <f t="shared" si="266"/>
        <v>2351.5</v>
      </c>
      <c r="S193" s="23"/>
      <c r="T193" s="23">
        <f t="shared" si="267"/>
        <v>2351.5</v>
      </c>
      <c r="U193" s="23"/>
      <c r="V193" s="23">
        <f t="shared" si="268"/>
        <v>2351.5</v>
      </c>
      <c r="W193" s="23"/>
      <c r="X193" s="23">
        <f t="shared" si="269"/>
        <v>2351.5</v>
      </c>
      <c r="Y193" s="24"/>
      <c r="Z193" s="70">
        <f t="shared" si="270"/>
        <v>2351.5</v>
      </c>
      <c r="AA193" s="16" t="s">
        <v>191</v>
      </c>
    </row>
    <row r="194" spans="1:28" ht="54" x14ac:dyDescent="0.3">
      <c r="A194" s="64" t="s">
        <v>157</v>
      </c>
      <c r="B194" s="73" t="s">
        <v>270</v>
      </c>
      <c r="C194" s="73" t="s">
        <v>292</v>
      </c>
      <c r="D194" s="23"/>
      <c r="E194" s="23"/>
      <c r="F194" s="23"/>
      <c r="G194" s="23">
        <v>3396.34</v>
      </c>
      <c r="H194" s="23">
        <f t="shared" si="261"/>
        <v>3396.34</v>
      </c>
      <c r="I194" s="23"/>
      <c r="J194" s="23">
        <f t="shared" si="262"/>
        <v>3396.34</v>
      </c>
      <c r="K194" s="23"/>
      <c r="L194" s="23">
        <f t="shared" si="263"/>
        <v>3396.34</v>
      </c>
      <c r="M194" s="23"/>
      <c r="N194" s="23">
        <f t="shared" si="264"/>
        <v>3396.34</v>
      </c>
      <c r="O194" s="23"/>
      <c r="P194" s="23">
        <f t="shared" si="265"/>
        <v>3396.34</v>
      </c>
      <c r="Q194" s="23"/>
      <c r="R194" s="23">
        <f t="shared" si="266"/>
        <v>3396.34</v>
      </c>
      <c r="S194" s="23"/>
      <c r="T194" s="23">
        <f t="shared" si="267"/>
        <v>3396.34</v>
      </c>
      <c r="U194" s="23"/>
      <c r="V194" s="23">
        <f t="shared" si="268"/>
        <v>3396.34</v>
      </c>
      <c r="W194" s="23"/>
      <c r="X194" s="23">
        <f t="shared" si="269"/>
        <v>3396.34</v>
      </c>
      <c r="Y194" s="24"/>
      <c r="Z194" s="70">
        <f t="shared" si="270"/>
        <v>3396.34</v>
      </c>
      <c r="AA194" s="16" t="s">
        <v>192</v>
      </c>
    </row>
    <row r="195" spans="1:28" ht="54" x14ac:dyDescent="0.3">
      <c r="A195" s="64" t="s">
        <v>203</v>
      </c>
      <c r="B195" s="73" t="s">
        <v>231</v>
      </c>
      <c r="C195" s="73" t="s">
        <v>292</v>
      </c>
      <c r="D195" s="23"/>
      <c r="E195" s="23"/>
      <c r="F195" s="23"/>
      <c r="G195" s="23">
        <v>22.224</v>
      </c>
      <c r="H195" s="23">
        <f t="shared" si="261"/>
        <v>22.224</v>
      </c>
      <c r="I195" s="23"/>
      <c r="J195" s="23">
        <f t="shared" si="262"/>
        <v>22.224</v>
      </c>
      <c r="K195" s="23"/>
      <c r="L195" s="23">
        <f t="shared" si="263"/>
        <v>22.224</v>
      </c>
      <c r="M195" s="23"/>
      <c r="N195" s="23">
        <f t="shared" si="264"/>
        <v>22.224</v>
      </c>
      <c r="O195" s="23"/>
      <c r="P195" s="23">
        <f t="shared" si="265"/>
        <v>22.224</v>
      </c>
      <c r="Q195" s="23"/>
      <c r="R195" s="23">
        <f t="shared" si="266"/>
        <v>22.224</v>
      </c>
      <c r="S195" s="23"/>
      <c r="T195" s="23">
        <f t="shared" si="267"/>
        <v>22.224</v>
      </c>
      <c r="U195" s="23"/>
      <c r="V195" s="23">
        <f t="shared" si="268"/>
        <v>22.224</v>
      </c>
      <c r="W195" s="23"/>
      <c r="X195" s="23">
        <f t="shared" si="269"/>
        <v>22.224</v>
      </c>
      <c r="Y195" s="24"/>
      <c r="Z195" s="70">
        <f t="shared" si="270"/>
        <v>22.224</v>
      </c>
      <c r="AA195" s="16" t="s">
        <v>193</v>
      </c>
    </row>
    <row r="196" spans="1:28" s="2" customFormat="1" ht="54" hidden="1" x14ac:dyDescent="0.3">
      <c r="A196" s="1" t="s">
        <v>203</v>
      </c>
      <c r="B196" s="4" t="s">
        <v>241</v>
      </c>
      <c r="C196" s="4" t="s">
        <v>292</v>
      </c>
      <c r="D196" s="23"/>
      <c r="E196" s="23"/>
      <c r="F196" s="23"/>
      <c r="G196" s="23"/>
      <c r="H196" s="23"/>
      <c r="I196" s="23"/>
      <c r="J196" s="23"/>
      <c r="K196" s="23">
        <f>K198+K199</f>
        <v>283733.40000000002</v>
      </c>
      <c r="L196" s="23">
        <f t="shared" si="263"/>
        <v>283733.40000000002</v>
      </c>
      <c r="M196" s="23">
        <f>M198+M199</f>
        <v>0</v>
      </c>
      <c r="N196" s="23">
        <f t="shared" si="264"/>
        <v>283733.40000000002</v>
      </c>
      <c r="O196" s="23">
        <f>O198+O199</f>
        <v>0</v>
      </c>
      <c r="P196" s="23">
        <f t="shared" si="265"/>
        <v>283733.40000000002</v>
      </c>
      <c r="Q196" s="23">
        <f>Q198+Q199</f>
        <v>0</v>
      </c>
      <c r="R196" s="23">
        <f t="shared" si="266"/>
        <v>283733.40000000002</v>
      </c>
      <c r="S196" s="23">
        <f>S198+S199</f>
        <v>0</v>
      </c>
      <c r="T196" s="23">
        <f t="shared" si="267"/>
        <v>283733.40000000002</v>
      </c>
      <c r="U196" s="23">
        <f>U198+U199</f>
        <v>0</v>
      </c>
      <c r="V196" s="23">
        <f t="shared" si="268"/>
        <v>283733.40000000002</v>
      </c>
      <c r="W196" s="23">
        <f>W198+W199</f>
        <v>-283733.40000000002</v>
      </c>
      <c r="X196" s="23">
        <f t="shared" si="269"/>
        <v>0</v>
      </c>
      <c r="Y196" s="24">
        <f>Y198+Y199</f>
        <v>0</v>
      </c>
      <c r="Z196" s="23">
        <f t="shared" si="270"/>
        <v>0</v>
      </c>
      <c r="AA196" s="16"/>
      <c r="AB196" s="6">
        <v>0</v>
      </c>
    </row>
    <row r="197" spans="1:28" s="2" customFormat="1" hidden="1" x14ac:dyDescent="0.3">
      <c r="A197" s="1"/>
      <c r="B197" s="4" t="s">
        <v>2</v>
      </c>
      <c r="C197" s="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4"/>
      <c r="Z197" s="23"/>
      <c r="AA197" s="16"/>
      <c r="AB197" s="6">
        <v>0</v>
      </c>
    </row>
    <row r="198" spans="1:28" s="2" customFormat="1" hidden="1" x14ac:dyDescent="0.3">
      <c r="A198" s="1"/>
      <c r="B198" s="4" t="s">
        <v>3</v>
      </c>
      <c r="C198" s="4"/>
      <c r="D198" s="23"/>
      <c r="E198" s="23"/>
      <c r="F198" s="23"/>
      <c r="G198" s="23"/>
      <c r="H198" s="23"/>
      <c r="I198" s="23"/>
      <c r="J198" s="23"/>
      <c r="K198" s="23">
        <v>70933.399999999994</v>
      </c>
      <c r="L198" s="23">
        <f t="shared" si="263"/>
        <v>70933.399999999994</v>
      </c>
      <c r="M198" s="23"/>
      <c r="N198" s="23">
        <f t="shared" ref="N198:N204" si="271">L198+M198</f>
        <v>70933.399999999994</v>
      </c>
      <c r="O198" s="23"/>
      <c r="P198" s="23">
        <f t="shared" ref="P198:P204" si="272">N198+O198</f>
        <v>70933.399999999994</v>
      </c>
      <c r="Q198" s="23"/>
      <c r="R198" s="23">
        <f t="shared" ref="R198:R204" si="273">P198+Q198</f>
        <v>70933.399999999994</v>
      </c>
      <c r="S198" s="23"/>
      <c r="T198" s="23">
        <f t="shared" ref="T198:T204" si="274">R198+S198</f>
        <v>70933.399999999994</v>
      </c>
      <c r="U198" s="23"/>
      <c r="V198" s="23">
        <f t="shared" ref="V198:V204" si="275">T198+U198</f>
        <v>70933.399999999994</v>
      </c>
      <c r="W198" s="23">
        <v>-70933.399999999994</v>
      </c>
      <c r="X198" s="23">
        <f t="shared" ref="X198:X204" si="276">V198+W198</f>
        <v>0</v>
      </c>
      <c r="Y198" s="24"/>
      <c r="Z198" s="23">
        <f t="shared" ref="Z198:Z200" si="277">X198+Y198</f>
        <v>0</v>
      </c>
      <c r="AA198" s="16" t="s">
        <v>240</v>
      </c>
      <c r="AB198" s="6">
        <v>0</v>
      </c>
    </row>
    <row r="199" spans="1:28" s="2" customFormat="1" hidden="1" x14ac:dyDescent="0.3">
      <c r="A199" s="1"/>
      <c r="B199" s="4" t="s">
        <v>24</v>
      </c>
      <c r="C199" s="4"/>
      <c r="D199" s="23"/>
      <c r="E199" s="23"/>
      <c r="F199" s="23"/>
      <c r="G199" s="23"/>
      <c r="H199" s="23"/>
      <c r="I199" s="23"/>
      <c r="J199" s="23"/>
      <c r="K199" s="23">
        <v>212800</v>
      </c>
      <c r="L199" s="23">
        <f t="shared" si="263"/>
        <v>212800</v>
      </c>
      <c r="M199" s="23"/>
      <c r="N199" s="23">
        <f t="shared" si="271"/>
        <v>212800</v>
      </c>
      <c r="O199" s="23"/>
      <c r="P199" s="23">
        <f t="shared" si="272"/>
        <v>212800</v>
      </c>
      <c r="Q199" s="23"/>
      <c r="R199" s="23">
        <f t="shared" si="273"/>
        <v>212800</v>
      </c>
      <c r="S199" s="23"/>
      <c r="T199" s="23">
        <f t="shared" si="274"/>
        <v>212800</v>
      </c>
      <c r="U199" s="23"/>
      <c r="V199" s="23">
        <f t="shared" si="275"/>
        <v>212800</v>
      </c>
      <c r="W199" s="23">
        <v>-212800</v>
      </c>
      <c r="X199" s="23">
        <f t="shared" si="276"/>
        <v>0</v>
      </c>
      <c r="Y199" s="24"/>
      <c r="Z199" s="23">
        <f t="shared" si="277"/>
        <v>0</v>
      </c>
      <c r="AA199" s="16" t="s">
        <v>240</v>
      </c>
      <c r="AB199" s="6">
        <v>0</v>
      </c>
    </row>
    <row r="200" spans="1:28" ht="54" x14ac:dyDescent="0.3">
      <c r="A200" s="64" t="s">
        <v>204</v>
      </c>
      <c r="B200" s="73" t="s">
        <v>241</v>
      </c>
      <c r="C200" s="73" t="s">
        <v>293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>
        <f>W202+W203</f>
        <v>283733.40000000002</v>
      </c>
      <c r="X200" s="23">
        <f t="shared" si="276"/>
        <v>283733.40000000002</v>
      </c>
      <c r="Y200" s="24">
        <f>Y202+Y203</f>
        <v>0</v>
      </c>
      <c r="Z200" s="70">
        <f t="shared" si="277"/>
        <v>283733.40000000002</v>
      </c>
    </row>
    <row r="201" spans="1:28" x14ac:dyDescent="0.3">
      <c r="A201" s="64"/>
      <c r="B201" s="73" t="s">
        <v>2</v>
      </c>
      <c r="C201" s="7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4"/>
      <c r="Z201" s="70"/>
    </row>
    <row r="202" spans="1:28" s="2" customFormat="1" hidden="1" x14ac:dyDescent="0.3">
      <c r="A202" s="1"/>
      <c r="B202" s="4" t="s">
        <v>3</v>
      </c>
      <c r="C202" s="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>
        <v>70933.399999999994</v>
      </c>
      <c r="X202" s="23">
        <f t="shared" si="276"/>
        <v>70933.399999999994</v>
      </c>
      <c r="Y202" s="24"/>
      <c r="Z202" s="23">
        <f t="shared" ref="Z202:Z204" si="278">X202+Y202</f>
        <v>70933.399999999994</v>
      </c>
      <c r="AA202" s="16" t="s">
        <v>240</v>
      </c>
      <c r="AB202" s="6">
        <v>0</v>
      </c>
    </row>
    <row r="203" spans="1:28" x14ac:dyDescent="0.3">
      <c r="A203" s="64"/>
      <c r="B203" s="73" t="s">
        <v>24</v>
      </c>
      <c r="C203" s="7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>
        <v>212800</v>
      </c>
      <c r="X203" s="23">
        <f t="shared" si="276"/>
        <v>212800</v>
      </c>
      <c r="Y203" s="24"/>
      <c r="Z203" s="70">
        <f t="shared" si="278"/>
        <v>212800</v>
      </c>
      <c r="AA203" s="16" t="s">
        <v>240</v>
      </c>
    </row>
    <row r="204" spans="1:28" ht="65.25" customHeight="1" x14ac:dyDescent="0.3">
      <c r="A204" s="64" t="s">
        <v>158</v>
      </c>
      <c r="B204" s="73" t="s">
        <v>243</v>
      </c>
      <c r="C204" s="73" t="s">
        <v>292</v>
      </c>
      <c r="D204" s="23"/>
      <c r="E204" s="23"/>
      <c r="F204" s="23"/>
      <c r="G204" s="23"/>
      <c r="H204" s="23"/>
      <c r="I204" s="23"/>
      <c r="J204" s="23"/>
      <c r="K204" s="23">
        <f>K206+K207</f>
        <v>7040</v>
      </c>
      <c r="L204" s="23">
        <f t="shared" si="263"/>
        <v>7040</v>
      </c>
      <c r="M204" s="23">
        <f>M206+M207</f>
        <v>0</v>
      </c>
      <c r="N204" s="23">
        <f t="shared" si="271"/>
        <v>7040</v>
      </c>
      <c r="O204" s="23">
        <f>O206+O207</f>
        <v>0</v>
      </c>
      <c r="P204" s="23">
        <f t="shared" si="272"/>
        <v>7040</v>
      </c>
      <c r="Q204" s="23">
        <f>Q206+Q207</f>
        <v>0</v>
      </c>
      <c r="R204" s="23">
        <f t="shared" si="273"/>
        <v>7040</v>
      </c>
      <c r="S204" s="23">
        <f>S206+S207</f>
        <v>0</v>
      </c>
      <c r="T204" s="23">
        <f t="shared" si="274"/>
        <v>7040</v>
      </c>
      <c r="U204" s="23">
        <f>U206+U207</f>
        <v>0</v>
      </c>
      <c r="V204" s="23">
        <f t="shared" si="275"/>
        <v>7040</v>
      </c>
      <c r="W204" s="23">
        <f>W206+W207</f>
        <v>0</v>
      </c>
      <c r="X204" s="23">
        <f t="shared" si="276"/>
        <v>7040</v>
      </c>
      <c r="Y204" s="24">
        <f>Y206+Y207</f>
        <v>0</v>
      </c>
      <c r="Z204" s="70">
        <f t="shared" si="278"/>
        <v>7040</v>
      </c>
    </row>
    <row r="205" spans="1:28" x14ac:dyDescent="0.3">
      <c r="A205" s="64"/>
      <c r="B205" s="73" t="s">
        <v>2</v>
      </c>
      <c r="C205" s="7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4"/>
      <c r="Z205" s="70"/>
    </row>
    <row r="206" spans="1:28" s="2" customFormat="1" hidden="1" x14ac:dyDescent="0.3">
      <c r="A206" s="1"/>
      <c r="B206" s="4" t="s">
        <v>3</v>
      </c>
      <c r="C206" s="4"/>
      <c r="D206" s="23"/>
      <c r="E206" s="23"/>
      <c r="F206" s="23"/>
      <c r="G206" s="23"/>
      <c r="H206" s="23"/>
      <c r="I206" s="23"/>
      <c r="J206" s="23"/>
      <c r="K206" s="23">
        <v>1760</v>
      </c>
      <c r="L206" s="23">
        <f t="shared" si="263"/>
        <v>1760</v>
      </c>
      <c r="M206" s="23"/>
      <c r="N206" s="23">
        <f t="shared" ref="N206:N212" si="279">L206+M206</f>
        <v>1760</v>
      </c>
      <c r="O206" s="23"/>
      <c r="P206" s="23">
        <f t="shared" ref="P206:P212" si="280">N206+O206</f>
        <v>1760</v>
      </c>
      <c r="Q206" s="23"/>
      <c r="R206" s="23">
        <f t="shared" ref="R206" si="281">P206+Q206</f>
        <v>1760</v>
      </c>
      <c r="S206" s="23"/>
      <c r="T206" s="23">
        <f t="shared" ref="T206" si="282">R206+S206</f>
        <v>1760</v>
      </c>
      <c r="U206" s="23"/>
      <c r="V206" s="23">
        <f t="shared" ref="V206" si="283">T206+U206</f>
        <v>1760</v>
      </c>
      <c r="W206" s="23"/>
      <c r="X206" s="23">
        <f t="shared" ref="X206" si="284">V206+W206</f>
        <v>1760</v>
      </c>
      <c r="Y206" s="24"/>
      <c r="Z206" s="23">
        <f t="shared" ref="Z206" si="285">X206+Y206</f>
        <v>1760</v>
      </c>
      <c r="AA206" s="16" t="s">
        <v>244</v>
      </c>
      <c r="AB206" s="6">
        <v>0</v>
      </c>
    </row>
    <row r="207" spans="1:28" x14ac:dyDescent="0.3">
      <c r="A207" s="64"/>
      <c r="B207" s="73" t="s">
        <v>24</v>
      </c>
      <c r="C207" s="73"/>
      <c r="D207" s="23"/>
      <c r="E207" s="23"/>
      <c r="F207" s="23"/>
      <c r="G207" s="23"/>
      <c r="H207" s="23"/>
      <c r="I207" s="23"/>
      <c r="J207" s="23"/>
      <c r="K207" s="23">
        <v>5280</v>
      </c>
      <c r="L207" s="23">
        <f t="shared" si="263"/>
        <v>5280</v>
      </c>
      <c r="M207" s="23"/>
      <c r="N207" s="23">
        <f t="shared" si="279"/>
        <v>5280</v>
      </c>
      <c r="O207" s="23"/>
      <c r="P207" s="23">
        <f>N207+O207</f>
        <v>5280</v>
      </c>
      <c r="Q207" s="23"/>
      <c r="R207" s="23">
        <f>P207+Q207</f>
        <v>5280</v>
      </c>
      <c r="S207" s="23"/>
      <c r="T207" s="23">
        <f>R207+S207</f>
        <v>5280</v>
      </c>
      <c r="U207" s="23"/>
      <c r="V207" s="23">
        <f>T207+U207</f>
        <v>5280</v>
      </c>
      <c r="W207" s="23"/>
      <c r="X207" s="23">
        <f>V207+W207</f>
        <v>5280</v>
      </c>
      <c r="Y207" s="24"/>
      <c r="Z207" s="70">
        <f>X207+Y207</f>
        <v>5280</v>
      </c>
      <c r="AA207" s="16" t="s">
        <v>245</v>
      </c>
    </row>
    <row r="208" spans="1:28" ht="54" x14ac:dyDescent="0.3">
      <c r="A208" s="64" t="s">
        <v>205</v>
      </c>
      <c r="B208" s="73" t="s">
        <v>259</v>
      </c>
      <c r="C208" s="73" t="s">
        <v>292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>
        <v>6195.6540000000005</v>
      </c>
      <c r="P208" s="23">
        <f>N208+O208</f>
        <v>6195.6540000000005</v>
      </c>
      <c r="Q208" s="23"/>
      <c r="R208" s="23">
        <f>P208+Q208</f>
        <v>6195.6540000000005</v>
      </c>
      <c r="S208" s="23"/>
      <c r="T208" s="23">
        <f>R208+S208</f>
        <v>6195.6540000000005</v>
      </c>
      <c r="U208" s="23"/>
      <c r="V208" s="23">
        <f>T208+U208</f>
        <v>6195.6540000000005</v>
      </c>
      <c r="W208" s="23"/>
      <c r="X208" s="23">
        <f>V208+W208</f>
        <v>6195.6540000000005</v>
      </c>
      <c r="Y208" s="24"/>
      <c r="Z208" s="70">
        <f>X208+Y208</f>
        <v>6195.6540000000005</v>
      </c>
      <c r="AA208" s="16" t="s">
        <v>260</v>
      </c>
    </row>
    <row r="209" spans="1:29" x14ac:dyDescent="0.3">
      <c r="A209" s="64"/>
      <c r="B209" s="73" t="s">
        <v>26</v>
      </c>
      <c r="C209" s="86"/>
      <c r="D209" s="22">
        <f>D210</f>
        <v>12000</v>
      </c>
      <c r="E209" s="22">
        <f>E210</f>
        <v>2050</v>
      </c>
      <c r="F209" s="22">
        <f t="shared" si="142"/>
        <v>14050</v>
      </c>
      <c r="G209" s="22">
        <f>G210+G211</f>
        <v>25999.042000000001</v>
      </c>
      <c r="H209" s="22">
        <f t="shared" si="251"/>
        <v>40049.042000000001</v>
      </c>
      <c r="I209" s="22">
        <f>I210+I211</f>
        <v>0</v>
      </c>
      <c r="J209" s="22">
        <f t="shared" si="262"/>
        <v>40049.042000000001</v>
      </c>
      <c r="K209" s="22">
        <f>K210+K211</f>
        <v>-14050</v>
      </c>
      <c r="L209" s="22">
        <f t="shared" si="263"/>
        <v>25999.042000000001</v>
      </c>
      <c r="M209" s="22">
        <f>M210+M211</f>
        <v>0</v>
      </c>
      <c r="N209" s="22">
        <f t="shared" si="279"/>
        <v>25999.042000000001</v>
      </c>
      <c r="O209" s="22">
        <f>O210+O211</f>
        <v>0</v>
      </c>
      <c r="P209" s="22">
        <f t="shared" si="280"/>
        <v>25999.042000000001</v>
      </c>
      <c r="Q209" s="22">
        <f>Q210+Q211</f>
        <v>0</v>
      </c>
      <c r="R209" s="22">
        <f t="shared" ref="R209:R212" si="286">P209+Q209</f>
        <v>25999.042000000001</v>
      </c>
      <c r="S209" s="22">
        <f>S210+S211</f>
        <v>6841.009</v>
      </c>
      <c r="T209" s="22">
        <f t="shared" ref="T209:T212" si="287">R209+S209</f>
        <v>32840.050999999999</v>
      </c>
      <c r="U209" s="22">
        <f>U210+U211</f>
        <v>0</v>
      </c>
      <c r="V209" s="22">
        <f t="shared" ref="V209:V212" si="288">T209+U209</f>
        <v>32840.050999999999</v>
      </c>
      <c r="W209" s="22">
        <f>W210+W211</f>
        <v>0</v>
      </c>
      <c r="X209" s="22">
        <f t="shared" ref="X209:X212" si="289">V209+W209</f>
        <v>32840.050999999999</v>
      </c>
      <c r="Y209" s="22">
        <f>Y210+Y211</f>
        <v>0</v>
      </c>
      <c r="Z209" s="70">
        <f t="shared" ref="Z209:Z212" si="290">X209+Y209</f>
        <v>32840.050999999999</v>
      </c>
      <c r="AA209" s="48"/>
      <c r="AB209" s="49"/>
      <c r="AC209" s="52"/>
    </row>
    <row r="210" spans="1:29" s="2" customFormat="1" ht="54" hidden="1" x14ac:dyDescent="0.3">
      <c r="A210" s="1" t="s">
        <v>208</v>
      </c>
      <c r="B210" s="4" t="s">
        <v>65</v>
      </c>
      <c r="C210" s="39" t="s">
        <v>45</v>
      </c>
      <c r="D210" s="23">
        <v>12000</v>
      </c>
      <c r="E210" s="23">
        <v>2050</v>
      </c>
      <c r="F210" s="23">
        <f t="shared" si="142"/>
        <v>14050</v>
      </c>
      <c r="G210" s="23"/>
      <c r="H210" s="23">
        <f t="shared" si="251"/>
        <v>14050</v>
      </c>
      <c r="I210" s="23"/>
      <c r="J210" s="23">
        <f t="shared" si="262"/>
        <v>14050</v>
      </c>
      <c r="K210" s="23">
        <v>-14050</v>
      </c>
      <c r="L210" s="23">
        <f t="shared" si="263"/>
        <v>0</v>
      </c>
      <c r="M210" s="23"/>
      <c r="N210" s="23">
        <f t="shared" si="279"/>
        <v>0</v>
      </c>
      <c r="O210" s="23"/>
      <c r="P210" s="23">
        <f t="shared" si="280"/>
        <v>0</v>
      </c>
      <c r="Q210" s="23"/>
      <c r="R210" s="23">
        <f t="shared" si="286"/>
        <v>0</v>
      </c>
      <c r="S210" s="23"/>
      <c r="T210" s="23">
        <f t="shared" si="287"/>
        <v>0</v>
      </c>
      <c r="U210" s="23"/>
      <c r="V210" s="23">
        <f t="shared" si="288"/>
        <v>0</v>
      </c>
      <c r="W210" s="23"/>
      <c r="X210" s="23">
        <f t="shared" si="289"/>
        <v>0</v>
      </c>
      <c r="Y210" s="24"/>
      <c r="Z210" s="23">
        <f t="shared" si="290"/>
        <v>0</v>
      </c>
      <c r="AA210" s="16" t="s">
        <v>66</v>
      </c>
      <c r="AB210" s="6">
        <v>0</v>
      </c>
    </row>
    <row r="211" spans="1:29" ht="54" x14ac:dyDescent="0.3">
      <c r="A211" s="64" t="s">
        <v>206</v>
      </c>
      <c r="B211" s="73" t="s">
        <v>182</v>
      </c>
      <c r="C211" s="72" t="s">
        <v>45</v>
      </c>
      <c r="D211" s="23"/>
      <c r="E211" s="23"/>
      <c r="F211" s="23"/>
      <c r="G211" s="23">
        <f>11499.042+14500</f>
        <v>25999.042000000001</v>
      </c>
      <c r="H211" s="23">
        <f t="shared" si="251"/>
        <v>25999.042000000001</v>
      </c>
      <c r="I211" s="23"/>
      <c r="J211" s="23">
        <f t="shared" si="262"/>
        <v>25999.042000000001</v>
      </c>
      <c r="K211" s="23"/>
      <c r="L211" s="23">
        <f t="shared" si="263"/>
        <v>25999.042000000001</v>
      </c>
      <c r="M211" s="23"/>
      <c r="N211" s="23">
        <f t="shared" si="279"/>
        <v>25999.042000000001</v>
      </c>
      <c r="O211" s="23"/>
      <c r="P211" s="23">
        <f t="shared" si="280"/>
        <v>25999.042000000001</v>
      </c>
      <c r="Q211" s="23"/>
      <c r="R211" s="23">
        <f t="shared" si="286"/>
        <v>25999.042000000001</v>
      </c>
      <c r="S211" s="23">
        <v>6841.009</v>
      </c>
      <c r="T211" s="23">
        <f t="shared" si="287"/>
        <v>32840.050999999999</v>
      </c>
      <c r="U211" s="23"/>
      <c r="V211" s="23">
        <f t="shared" si="288"/>
        <v>32840.050999999999</v>
      </c>
      <c r="W211" s="23"/>
      <c r="X211" s="23">
        <f t="shared" si="289"/>
        <v>32840.050999999999</v>
      </c>
      <c r="Y211" s="24"/>
      <c r="Z211" s="70">
        <f t="shared" si="290"/>
        <v>32840.050999999999</v>
      </c>
      <c r="AA211" s="16" t="s">
        <v>183</v>
      </c>
    </row>
    <row r="212" spans="1:29" x14ac:dyDescent="0.3">
      <c r="A212" s="64"/>
      <c r="B212" s="87" t="s">
        <v>7</v>
      </c>
      <c r="C212" s="88"/>
      <c r="D212" s="22">
        <f>D216+D217+D221+D222+D223+D224</f>
        <v>289256.8</v>
      </c>
      <c r="E212" s="22">
        <f>E216+E217+E221+E222+E223+E224</f>
        <v>-143390.389</v>
      </c>
      <c r="F212" s="22">
        <f t="shared" si="142"/>
        <v>145866.41099999999</v>
      </c>
      <c r="G212" s="22">
        <f>G216+G217+G221+G222+G223+G224</f>
        <v>18090.346000000001</v>
      </c>
      <c r="H212" s="22">
        <f t="shared" si="251"/>
        <v>163956.75699999998</v>
      </c>
      <c r="I212" s="22">
        <f>I216+I217+I221+I222+I223+I224</f>
        <v>0</v>
      </c>
      <c r="J212" s="22">
        <f t="shared" si="262"/>
        <v>163956.75699999998</v>
      </c>
      <c r="K212" s="22">
        <f>K216+K217+K221+K222+K223+K224+K225</f>
        <v>3132.9859999999999</v>
      </c>
      <c r="L212" s="22">
        <f t="shared" si="263"/>
        <v>167089.74299999999</v>
      </c>
      <c r="M212" s="22">
        <f>M216+M217+M221+M222+M223+M224+M225</f>
        <v>0</v>
      </c>
      <c r="N212" s="22">
        <f t="shared" si="279"/>
        <v>167089.74299999999</v>
      </c>
      <c r="O212" s="22">
        <f>O216+O217+O221+O222+O223+O224+O225</f>
        <v>0</v>
      </c>
      <c r="P212" s="22">
        <f t="shared" si="280"/>
        <v>167089.74299999999</v>
      </c>
      <c r="Q212" s="22">
        <f>Q216+Q217+Q221+Q222+Q223+Q224+Q225</f>
        <v>0</v>
      </c>
      <c r="R212" s="22">
        <f t="shared" si="286"/>
        <v>167089.74299999999</v>
      </c>
      <c r="S212" s="22">
        <f>S216+S217+S221+S222+S223+S224+S225</f>
        <v>-17083.050999999999</v>
      </c>
      <c r="T212" s="22">
        <f t="shared" si="287"/>
        <v>150006.69199999998</v>
      </c>
      <c r="U212" s="22">
        <f>U216+U217+U221+U222+U223+U224+U225</f>
        <v>0</v>
      </c>
      <c r="V212" s="22">
        <f t="shared" si="288"/>
        <v>150006.69199999998</v>
      </c>
      <c r="W212" s="22">
        <f>W216+W217+W221+W222+W223+W224+W225</f>
        <v>-3874</v>
      </c>
      <c r="X212" s="22">
        <f t="shared" si="289"/>
        <v>146132.69199999998</v>
      </c>
      <c r="Y212" s="22">
        <f>Y216+Y217+Y221+Y222+Y223+Y224+Y225</f>
        <v>-3483.6509999999998</v>
      </c>
      <c r="Z212" s="70">
        <f t="shared" si="290"/>
        <v>142649.04099999997</v>
      </c>
      <c r="AA212" s="48"/>
      <c r="AB212" s="49"/>
      <c r="AC212" s="52"/>
    </row>
    <row r="213" spans="1:29" x14ac:dyDescent="0.3">
      <c r="A213" s="74"/>
      <c r="B213" s="73" t="s">
        <v>2</v>
      </c>
      <c r="C213" s="88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4"/>
      <c r="Z213" s="70"/>
    </row>
    <row r="214" spans="1:29" s="2" customFormat="1" hidden="1" x14ac:dyDescent="0.3">
      <c r="A214" s="12"/>
      <c r="B214" s="4" t="s">
        <v>3</v>
      </c>
      <c r="C214" s="13"/>
      <c r="D214" s="23">
        <f>D216+D219+D221+D222+D223+D224</f>
        <v>249198.9</v>
      </c>
      <c r="E214" s="23">
        <f>E216+E219+E221+E222+E223+E224</f>
        <v>-143390.389</v>
      </c>
      <c r="F214" s="23">
        <f t="shared" si="142"/>
        <v>105808.511</v>
      </c>
      <c r="G214" s="23">
        <f>G216+G219+G221+G222+G223+G224</f>
        <v>18090.346000000001</v>
      </c>
      <c r="H214" s="23">
        <f t="shared" ref="H214:H217" si="291">F214+G214</f>
        <v>123898.857</v>
      </c>
      <c r="I214" s="23">
        <f>I216+I219+I221+I222+I223+I224</f>
        <v>0</v>
      </c>
      <c r="J214" s="23">
        <f t="shared" ref="J214:J217" si="292">H214+I214</f>
        <v>123898.857</v>
      </c>
      <c r="K214" s="23">
        <f>K216+K219+K221+K222+K223+K224+K225</f>
        <v>3132.9859999999999</v>
      </c>
      <c r="L214" s="23">
        <f t="shared" ref="L214:L217" si="293">J214+K214</f>
        <v>127031.84300000001</v>
      </c>
      <c r="M214" s="23">
        <f>M216+M219+M221+M222+M223+M224+M225</f>
        <v>0</v>
      </c>
      <c r="N214" s="23">
        <f t="shared" ref="N214:N217" si="294">L214+M214</f>
        <v>127031.84300000001</v>
      </c>
      <c r="O214" s="23">
        <f>O216+O219+O221+O222+O223+O224+O225</f>
        <v>0</v>
      </c>
      <c r="P214" s="23">
        <f t="shared" ref="P214:P217" si="295">N214+O214</f>
        <v>127031.84300000001</v>
      </c>
      <c r="Q214" s="23">
        <f>Q216+Q219+Q221+Q222+Q223+Q224+Q225</f>
        <v>0</v>
      </c>
      <c r="R214" s="23">
        <f t="shared" ref="R214:R217" si="296">P214+Q214</f>
        <v>127031.84300000001</v>
      </c>
      <c r="S214" s="23">
        <f>S216+S219+S221+S222+S223+S224+S225</f>
        <v>-17083.050999999999</v>
      </c>
      <c r="T214" s="23">
        <f t="shared" ref="T214:T217" si="297">R214+S214</f>
        <v>109948.79200000002</v>
      </c>
      <c r="U214" s="23">
        <f>U216+U219+U221+U222+U223+U224+U225</f>
        <v>0</v>
      </c>
      <c r="V214" s="23">
        <f t="shared" ref="V214:V217" si="298">T214+U214</f>
        <v>109948.79200000002</v>
      </c>
      <c r="W214" s="23">
        <f>W216+W219+W221+W222+W223+W224+W225</f>
        <v>-3874</v>
      </c>
      <c r="X214" s="23">
        <f t="shared" ref="X214:X217" si="299">V214+W214</f>
        <v>106074.79200000002</v>
      </c>
      <c r="Y214" s="24">
        <f>Y216+Y219+Y221+Y222+Y223+Y224+Y225</f>
        <v>-3483.6509999999998</v>
      </c>
      <c r="Z214" s="23">
        <f t="shared" ref="Z214:Z217" si="300">X214+Y214</f>
        <v>102591.14100000002</v>
      </c>
      <c r="AA214" s="16"/>
      <c r="AB214" s="6">
        <v>0</v>
      </c>
    </row>
    <row r="215" spans="1:29" x14ac:dyDescent="0.3">
      <c r="A215" s="64"/>
      <c r="B215" s="73" t="s">
        <v>16</v>
      </c>
      <c r="C215" s="88"/>
      <c r="D215" s="23">
        <f>D220</f>
        <v>40057.9</v>
      </c>
      <c r="E215" s="23">
        <f>E220</f>
        <v>0</v>
      </c>
      <c r="F215" s="23">
        <f t="shared" si="142"/>
        <v>40057.9</v>
      </c>
      <c r="G215" s="23">
        <f>G220</f>
        <v>0</v>
      </c>
      <c r="H215" s="23">
        <f t="shared" si="291"/>
        <v>40057.9</v>
      </c>
      <c r="I215" s="23">
        <f>I220</f>
        <v>0</v>
      </c>
      <c r="J215" s="23">
        <f t="shared" si="292"/>
        <v>40057.9</v>
      </c>
      <c r="K215" s="23">
        <f>K220</f>
        <v>0</v>
      </c>
      <c r="L215" s="23">
        <f t="shared" si="293"/>
        <v>40057.9</v>
      </c>
      <c r="M215" s="23">
        <f>M220</f>
        <v>0</v>
      </c>
      <c r="N215" s="23">
        <f t="shared" si="294"/>
        <v>40057.9</v>
      </c>
      <c r="O215" s="23">
        <f>O220</f>
        <v>0</v>
      </c>
      <c r="P215" s="23">
        <f t="shared" si="295"/>
        <v>40057.9</v>
      </c>
      <c r="Q215" s="23">
        <f>Q220</f>
        <v>0</v>
      </c>
      <c r="R215" s="23">
        <f t="shared" si="296"/>
        <v>40057.9</v>
      </c>
      <c r="S215" s="23">
        <f>S220</f>
        <v>0</v>
      </c>
      <c r="T215" s="23">
        <f t="shared" si="297"/>
        <v>40057.9</v>
      </c>
      <c r="U215" s="23">
        <f>U220</f>
        <v>0</v>
      </c>
      <c r="V215" s="23">
        <f t="shared" si="298"/>
        <v>40057.9</v>
      </c>
      <c r="W215" s="23">
        <f>W220</f>
        <v>0</v>
      </c>
      <c r="X215" s="23">
        <f t="shared" si="299"/>
        <v>40057.9</v>
      </c>
      <c r="Y215" s="24">
        <f>Y220</f>
        <v>0</v>
      </c>
      <c r="Z215" s="70">
        <f t="shared" si="300"/>
        <v>40057.9</v>
      </c>
    </row>
    <row r="216" spans="1:29" s="2" customFormat="1" ht="72" hidden="1" x14ac:dyDescent="0.3">
      <c r="A216" s="108" t="s">
        <v>207</v>
      </c>
      <c r="B216" s="41" t="s">
        <v>67</v>
      </c>
      <c r="C216" s="42" t="s">
        <v>68</v>
      </c>
      <c r="D216" s="23">
        <v>9187.2999999999993</v>
      </c>
      <c r="E216" s="23"/>
      <c r="F216" s="23">
        <f t="shared" si="142"/>
        <v>9187.2999999999993</v>
      </c>
      <c r="G216" s="23"/>
      <c r="H216" s="23">
        <f t="shared" si="291"/>
        <v>9187.2999999999993</v>
      </c>
      <c r="I216" s="23"/>
      <c r="J216" s="23">
        <f t="shared" si="292"/>
        <v>9187.2999999999993</v>
      </c>
      <c r="K216" s="23"/>
      <c r="L216" s="23">
        <f t="shared" si="293"/>
        <v>9187.2999999999993</v>
      </c>
      <c r="M216" s="23"/>
      <c r="N216" s="23">
        <f t="shared" si="294"/>
        <v>9187.2999999999993</v>
      </c>
      <c r="O216" s="23"/>
      <c r="P216" s="23">
        <f t="shared" si="295"/>
        <v>9187.2999999999993</v>
      </c>
      <c r="Q216" s="23"/>
      <c r="R216" s="23">
        <f t="shared" si="296"/>
        <v>9187.2999999999993</v>
      </c>
      <c r="S216" s="23">
        <v>-9187.2999999999993</v>
      </c>
      <c r="T216" s="23">
        <f t="shared" si="297"/>
        <v>0</v>
      </c>
      <c r="U216" s="23"/>
      <c r="V216" s="23">
        <f t="shared" si="298"/>
        <v>0</v>
      </c>
      <c r="W216" s="23"/>
      <c r="X216" s="23">
        <f t="shared" si="299"/>
        <v>0</v>
      </c>
      <c r="Y216" s="24"/>
      <c r="Z216" s="23">
        <f t="shared" si="300"/>
        <v>0</v>
      </c>
      <c r="AA216" s="16" t="s">
        <v>280</v>
      </c>
      <c r="AB216" s="6">
        <v>0</v>
      </c>
    </row>
    <row r="217" spans="1:29" ht="54" x14ac:dyDescent="0.3">
      <c r="A217" s="111"/>
      <c r="B217" s="71" t="s">
        <v>67</v>
      </c>
      <c r="C217" s="72" t="s">
        <v>45</v>
      </c>
      <c r="D217" s="23">
        <f>D219+D220</f>
        <v>44223.3</v>
      </c>
      <c r="E217" s="23">
        <f>E219+E220</f>
        <v>21609.611000000001</v>
      </c>
      <c r="F217" s="23">
        <f t="shared" si="142"/>
        <v>65832.911000000007</v>
      </c>
      <c r="G217" s="23">
        <f>G219+G220</f>
        <v>18090.346000000001</v>
      </c>
      <c r="H217" s="23">
        <f t="shared" si="291"/>
        <v>83923.257000000012</v>
      </c>
      <c r="I217" s="23">
        <f>I219+I220</f>
        <v>0</v>
      </c>
      <c r="J217" s="23">
        <f t="shared" si="292"/>
        <v>83923.257000000012</v>
      </c>
      <c r="K217" s="23">
        <f>K219+K220</f>
        <v>101.965</v>
      </c>
      <c r="L217" s="23">
        <f t="shared" si="293"/>
        <v>84025.222000000009</v>
      </c>
      <c r="M217" s="23">
        <f>M219+M220</f>
        <v>0</v>
      </c>
      <c r="N217" s="23">
        <f t="shared" si="294"/>
        <v>84025.222000000009</v>
      </c>
      <c r="O217" s="23">
        <f>O219+O220</f>
        <v>0</v>
      </c>
      <c r="P217" s="23">
        <f t="shared" si="295"/>
        <v>84025.222000000009</v>
      </c>
      <c r="Q217" s="23">
        <f>Q219+Q220</f>
        <v>0</v>
      </c>
      <c r="R217" s="23">
        <f t="shared" si="296"/>
        <v>84025.222000000009</v>
      </c>
      <c r="S217" s="23">
        <f>S219+S220</f>
        <v>0</v>
      </c>
      <c r="T217" s="23">
        <f t="shared" si="297"/>
        <v>84025.222000000009</v>
      </c>
      <c r="U217" s="23">
        <f>U219+U220</f>
        <v>0</v>
      </c>
      <c r="V217" s="23">
        <f t="shared" si="298"/>
        <v>84025.222000000009</v>
      </c>
      <c r="W217" s="23">
        <f>W219+W220</f>
        <v>0</v>
      </c>
      <c r="X217" s="23">
        <f t="shared" si="299"/>
        <v>84025.222000000009</v>
      </c>
      <c r="Y217" s="24">
        <f>Y219+Y220</f>
        <v>0</v>
      </c>
      <c r="Z217" s="70">
        <f t="shared" si="300"/>
        <v>84025.222000000009</v>
      </c>
    </row>
    <row r="218" spans="1:29" x14ac:dyDescent="0.3">
      <c r="A218" s="64"/>
      <c r="B218" s="73" t="s">
        <v>2</v>
      </c>
      <c r="C218" s="7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4"/>
      <c r="Z218" s="70"/>
    </row>
    <row r="219" spans="1:29" s="2" customFormat="1" hidden="1" x14ac:dyDescent="0.3">
      <c r="A219" s="1"/>
      <c r="B219" s="4" t="s">
        <v>3</v>
      </c>
      <c r="C219" s="3"/>
      <c r="D219" s="23">
        <v>4165.3999999999996</v>
      </c>
      <c r="E219" s="23">
        <v>21609.611000000001</v>
      </c>
      <c r="F219" s="23">
        <f t="shared" si="142"/>
        <v>25775.010999999999</v>
      </c>
      <c r="G219" s="23">
        <v>18090.346000000001</v>
      </c>
      <c r="H219" s="23">
        <f t="shared" ref="H219:H232" si="301">F219+G219</f>
        <v>43865.357000000004</v>
      </c>
      <c r="I219" s="23">
        <f>-9187.3+9187.3</f>
        <v>0</v>
      </c>
      <c r="J219" s="23">
        <f>H219+I219</f>
        <v>43865.357000000004</v>
      </c>
      <c r="K219" s="23">
        <v>101.965</v>
      </c>
      <c r="L219" s="23">
        <f>J219+K219</f>
        <v>43967.322</v>
      </c>
      <c r="M219" s="23"/>
      <c r="N219" s="23">
        <f>L219+M219</f>
        <v>43967.322</v>
      </c>
      <c r="O219" s="23"/>
      <c r="P219" s="23">
        <f>N219+O219</f>
        <v>43967.322</v>
      </c>
      <c r="Q219" s="23"/>
      <c r="R219" s="23">
        <f>P219+Q219</f>
        <v>43967.322</v>
      </c>
      <c r="S219" s="23"/>
      <c r="T219" s="23">
        <f>R219+S219</f>
        <v>43967.322</v>
      </c>
      <c r="U219" s="23"/>
      <c r="V219" s="23">
        <f>T219+U219</f>
        <v>43967.322</v>
      </c>
      <c r="W219" s="23"/>
      <c r="X219" s="23">
        <f>V219+W219</f>
        <v>43967.322</v>
      </c>
      <c r="Y219" s="24"/>
      <c r="Z219" s="23">
        <f>X219+Y219</f>
        <v>43967.322</v>
      </c>
      <c r="AA219" s="34" t="s">
        <v>212</v>
      </c>
      <c r="AB219" s="6">
        <v>0</v>
      </c>
    </row>
    <row r="220" spans="1:29" x14ac:dyDescent="0.3">
      <c r="A220" s="64"/>
      <c r="B220" s="73" t="s">
        <v>16</v>
      </c>
      <c r="C220" s="72"/>
      <c r="D220" s="23">
        <v>40057.9</v>
      </c>
      <c r="E220" s="23"/>
      <c r="F220" s="23">
        <f t="shared" ref="F220:F254" si="302">D220+E220</f>
        <v>40057.9</v>
      </c>
      <c r="G220" s="23"/>
      <c r="H220" s="23">
        <f t="shared" si="301"/>
        <v>40057.9</v>
      </c>
      <c r="I220" s="23"/>
      <c r="J220" s="23">
        <f t="shared" ref="J220:J232" si="303">H220+I220</f>
        <v>40057.9</v>
      </c>
      <c r="K220" s="23"/>
      <c r="L220" s="23">
        <f t="shared" ref="L220:L232" si="304">J220+K220</f>
        <v>40057.9</v>
      </c>
      <c r="M220" s="23"/>
      <c r="N220" s="23">
        <f t="shared" ref="N220:N232" si="305">L220+M220</f>
        <v>40057.9</v>
      </c>
      <c r="O220" s="23"/>
      <c r="P220" s="23">
        <f t="shared" ref="P220:P240" si="306">N220+O220</f>
        <v>40057.9</v>
      </c>
      <c r="Q220" s="23"/>
      <c r="R220" s="23">
        <f t="shared" ref="R220:R230" si="307">P220+Q220</f>
        <v>40057.9</v>
      </c>
      <c r="S220" s="23"/>
      <c r="T220" s="23">
        <f t="shared" ref="T220:T230" si="308">R220+S220</f>
        <v>40057.9</v>
      </c>
      <c r="U220" s="23"/>
      <c r="V220" s="23">
        <f t="shared" ref="V220:V230" si="309">T220+U220</f>
        <v>40057.9</v>
      </c>
      <c r="W220" s="23"/>
      <c r="X220" s="23">
        <f t="shared" ref="X220:X230" si="310">V220+W220</f>
        <v>40057.9</v>
      </c>
      <c r="Y220" s="24"/>
      <c r="Z220" s="70">
        <f t="shared" ref="Z220:Z230" si="311">X220+Y220</f>
        <v>40057.9</v>
      </c>
      <c r="AA220" s="16" t="s">
        <v>159</v>
      </c>
    </row>
    <row r="221" spans="1:29" ht="54" x14ac:dyDescent="0.3">
      <c r="A221" s="64" t="s">
        <v>208</v>
      </c>
      <c r="B221" s="73" t="s">
        <v>69</v>
      </c>
      <c r="C221" s="72" t="s">
        <v>45</v>
      </c>
      <c r="D221" s="23">
        <v>20846.2</v>
      </c>
      <c r="E221" s="23"/>
      <c r="F221" s="23">
        <f t="shared" si="302"/>
        <v>20846.2</v>
      </c>
      <c r="G221" s="23"/>
      <c r="H221" s="23">
        <f t="shared" si="301"/>
        <v>20846.2</v>
      </c>
      <c r="I221" s="23"/>
      <c r="J221" s="23">
        <f t="shared" si="303"/>
        <v>20846.2</v>
      </c>
      <c r="K221" s="23"/>
      <c r="L221" s="23">
        <f t="shared" si="304"/>
        <v>20846.2</v>
      </c>
      <c r="M221" s="23"/>
      <c r="N221" s="23">
        <f t="shared" si="305"/>
        <v>20846.2</v>
      </c>
      <c r="O221" s="23"/>
      <c r="P221" s="23">
        <f t="shared" si="306"/>
        <v>20846.2</v>
      </c>
      <c r="Q221" s="23"/>
      <c r="R221" s="23">
        <f t="shared" si="307"/>
        <v>20846.2</v>
      </c>
      <c r="S221" s="23"/>
      <c r="T221" s="23">
        <f t="shared" si="308"/>
        <v>20846.2</v>
      </c>
      <c r="U221" s="23"/>
      <c r="V221" s="23">
        <f t="shared" si="309"/>
        <v>20846.2</v>
      </c>
      <c r="W221" s="23"/>
      <c r="X221" s="23">
        <f t="shared" si="310"/>
        <v>20846.2</v>
      </c>
      <c r="Y221" s="24"/>
      <c r="Z221" s="70">
        <f t="shared" si="311"/>
        <v>20846.2</v>
      </c>
      <c r="AA221" s="16" t="s">
        <v>73</v>
      </c>
    </row>
    <row r="222" spans="1:29" s="2" customFormat="1" ht="54" hidden="1" x14ac:dyDescent="0.3">
      <c r="A222" s="1" t="s">
        <v>210</v>
      </c>
      <c r="B222" s="4" t="s">
        <v>70</v>
      </c>
      <c r="C222" s="18" t="s">
        <v>15</v>
      </c>
      <c r="D222" s="23">
        <v>165000</v>
      </c>
      <c r="E222" s="23">
        <v>-165000</v>
      </c>
      <c r="F222" s="23">
        <f t="shared" si="302"/>
        <v>0</v>
      </c>
      <c r="G222" s="23"/>
      <c r="H222" s="23">
        <f t="shared" si="301"/>
        <v>0</v>
      </c>
      <c r="I222" s="23"/>
      <c r="J222" s="23">
        <f t="shared" si="303"/>
        <v>0</v>
      </c>
      <c r="K222" s="23"/>
      <c r="L222" s="23">
        <f t="shared" si="304"/>
        <v>0</v>
      </c>
      <c r="M222" s="23"/>
      <c r="N222" s="23">
        <f t="shared" si="305"/>
        <v>0</v>
      </c>
      <c r="O222" s="23"/>
      <c r="P222" s="23">
        <f t="shared" si="306"/>
        <v>0</v>
      </c>
      <c r="Q222" s="23"/>
      <c r="R222" s="23">
        <f t="shared" si="307"/>
        <v>0</v>
      </c>
      <c r="S222" s="23"/>
      <c r="T222" s="23">
        <f t="shared" si="308"/>
        <v>0</v>
      </c>
      <c r="U222" s="23"/>
      <c r="V222" s="23">
        <f t="shared" si="309"/>
        <v>0</v>
      </c>
      <c r="W222" s="23"/>
      <c r="X222" s="23">
        <f t="shared" si="310"/>
        <v>0</v>
      </c>
      <c r="Y222" s="24"/>
      <c r="Z222" s="23">
        <f t="shared" si="311"/>
        <v>0</v>
      </c>
      <c r="AA222" s="16" t="s">
        <v>74</v>
      </c>
      <c r="AB222" s="6">
        <v>0</v>
      </c>
    </row>
    <row r="223" spans="1:29" ht="54" x14ac:dyDescent="0.3">
      <c r="A223" s="64" t="s">
        <v>209</v>
      </c>
      <c r="B223" s="73" t="s">
        <v>71</v>
      </c>
      <c r="C223" s="72" t="s">
        <v>45</v>
      </c>
      <c r="D223" s="23">
        <v>26626.5</v>
      </c>
      <c r="E223" s="23"/>
      <c r="F223" s="23">
        <f t="shared" si="302"/>
        <v>26626.5</v>
      </c>
      <c r="G223" s="23"/>
      <c r="H223" s="23">
        <f t="shared" si="301"/>
        <v>26626.5</v>
      </c>
      <c r="I223" s="23"/>
      <c r="J223" s="23">
        <f t="shared" si="303"/>
        <v>26626.5</v>
      </c>
      <c r="K223" s="23">
        <v>-842.97900000000004</v>
      </c>
      <c r="L223" s="23">
        <f t="shared" si="304"/>
        <v>25783.521000000001</v>
      </c>
      <c r="M223" s="23"/>
      <c r="N223" s="23">
        <f t="shared" si="305"/>
        <v>25783.521000000001</v>
      </c>
      <c r="O223" s="23"/>
      <c r="P223" s="23">
        <f t="shared" si="306"/>
        <v>25783.521000000001</v>
      </c>
      <c r="Q223" s="23"/>
      <c r="R223" s="23">
        <f t="shared" si="307"/>
        <v>25783.521000000001</v>
      </c>
      <c r="S223" s="23">
        <v>5731.0259999999998</v>
      </c>
      <c r="T223" s="23">
        <f t="shared" si="308"/>
        <v>31514.546999999999</v>
      </c>
      <c r="U223" s="23"/>
      <c r="V223" s="23">
        <f t="shared" si="309"/>
        <v>31514.546999999999</v>
      </c>
      <c r="W223" s="23"/>
      <c r="X223" s="23">
        <f t="shared" si="310"/>
        <v>31514.546999999999</v>
      </c>
      <c r="Y223" s="24">
        <v>-3483.6509999999998</v>
      </c>
      <c r="Z223" s="70">
        <f t="shared" si="311"/>
        <v>28030.896000000001</v>
      </c>
      <c r="AA223" s="16" t="s">
        <v>75</v>
      </c>
    </row>
    <row r="224" spans="1:29" ht="54" x14ac:dyDescent="0.3">
      <c r="A224" s="64" t="s">
        <v>210</v>
      </c>
      <c r="B224" s="73" t="s">
        <v>72</v>
      </c>
      <c r="C224" s="72" t="s">
        <v>45</v>
      </c>
      <c r="D224" s="23">
        <v>23373.5</v>
      </c>
      <c r="E224" s="23"/>
      <c r="F224" s="23">
        <f t="shared" si="302"/>
        <v>23373.5</v>
      </c>
      <c r="G224" s="23"/>
      <c r="H224" s="23">
        <f t="shared" si="301"/>
        <v>23373.5</v>
      </c>
      <c r="I224" s="23"/>
      <c r="J224" s="23">
        <f t="shared" si="303"/>
        <v>23373.5</v>
      </c>
      <c r="K224" s="23"/>
      <c r="L224" s="23">
        <f t="shared" si="304"/>
        <v>23373.5</v>
      </c>
      <c r="M224" s="23"/>
      <c r="N224" s="23">
        <f t="shared" si="305"/>
        <v>23373.5</v>
      </c>
      <c r="O224" s="23"/>
      <c r="P224" s="23">
        <f t="shared" si="306"/>
        <v>23373.5</v>
      </c>
      <c r="Q224" s="23"/>
      <c r="R224" s="23">
        <f t="shared" si="307"/>
        <v>23373.5</v>
      </c>
      <c r="S224" s="23">
        <v>-13626.777</v>
      </c>
      <c r="T224" s="23">
        <f t="shared" si="308"/>
        <v>9746.723</v>
      </c>
      <c r="U224" s="23"/>
      <c r="V224" s="23">
        <f t="shared" si="309"/>
        <v>9746.723</v>
      </c>
      <c r="W224" s="23"/>
      <c r="X224" s="23">
        <f t="shared" si="310"/>
        <v>9746.723</v>
      </c>
      <c r="Y224" s="24"/>
      <c r="Z224" s="70">
        <f t="shared" si="311"/>
        <v>9746.723</v>
      </c>
      <c r="AA224" s="16" t="s">
        <v>76</v>
      </c>
    </row>
    <row r="225" spans="1:29" s="2" customFormat="1" ht="72" hidden="1" x14ac:dyDescent="0.3">
      <c r="A225" s="1" t="s">
        <v>225</v>
      </c>
      <c r="B225" s="4" t="s">
        <v>255</v>
      </c>
      <c r="C225" s="46" t="s">
        <v>68</v>
      </c>
      <c r="D225" s="23"/>
      <c r="E225" s="23"/>
      <c r="F225" s="23"/>
      <c r="G225" s="23"/>
      <c r="H225" s="23"/>
      <c r="I225" s="23"/>
      <c r="J225" s="23"/>
      <c r="K225" s="23">
        <v>3874</v>
      </c>
      <c r="L225" s="23">
        <f t="shared" si="304"/>
        <v>3874</v>
      </c>
      <c r="M225" s="23"/>
      <c r="N225" s="23">
        <f t="shared" si="305"/>
        <v>3874</v>
      </c>
      <c r="O225" s="23"/>
      <c r="P225" s="23">
        <f t="shared" si="306"/>
        <v>3874</v>
      </c>
      <c r="Q225" s="23"/>
      <c r="R225" s="23">
        <f t="shared" si="307"/>
        <v>3874</v>
      </c>
      <c r="S225" s="23"/>
      <c r="T225" s="23">
        <f t="shared" si="308"/>
        <v>3874</v>
      </c>
      <c r="U225" s="23"/>
      <c r="V225" s="23">
        <f t="shared" si="309"/>
        <v>3874</v>
      </c>
      <c r="W225" s="23">
        <v>-3874</v>
      </c>
      <c r="X225" s="23">
        <f t="shared" si="310"/>
        <v>0</v>
      </c>
      <c r="Y225" s="24"/>
      <c r="Z225" s="23">
        <f t="shared" si="311"/>
        <v>0</v>
      </c>
      <c r="AA225" s="16" t="s">
        <v>256</v>
      </c>
      <c r="AB225" s="6">
        <v>0</v>
      </c>
    </row>
    <row r="226" spans="1:29" ht="19.5" customHeight="1" x14ac:dyDescent="0.3">
      <c r="A226" s="64"/>
      <c r="B226" s="73" t="s">
        <v>19</v>
      </c>
      <c r="C226" s="72"/>
      <c r="D226" s="22">
        <f>D227+D228+D229</f>
        <v>134891.20000000001</v>
      </c>
      <c r="E226" s="22">
        <f>E227+E228+E229</f>
        <v>1016.4930000000002</v>
      </c>
      <c r="F226" s="22">
        <f t="shared" si="302"/>
        <v>135907.693</v>
      </c>
      <c r="G226" s="22">
        <f>G227+G228+G229+G230</f>
        <v>3070.806</v>
      </c>
      <c r="H226" s="22">
        <f t="shared" si="301"/>
        <v>138978.49900000001</v>
      </c>
      <c r="I226" s="22">
        <f>I227+I228+I229+I230</f>
        <v>0</v>
      </c>
      <c r="J226" s="22">
        <f t="shared" si="303"/>
        <v>138978.49900000001</v>
      </c>
      <c r="K226" s="22">
        <f>K227+K228+K229+K230</f>
        <v>-25.863</v>
      </c>
      <c r="L226" s="22">
        <f t="shared" si="304"/>
        <v>138952.636</v>
      </c>
      <c r="M226" s="22">
        <f>M227+M228+M229+M230</f>
        <v>0</v>
      </c>
      <c r="N226" s="22">
        <f t="shared" si="305"/>
        <v>138952.636</v>
      </c>
      <c r="O226" s="22">
        <f>O227+O228+O229+O230</f>
        <v>1153.5899999999999</v>
      </c>
      <c r="P226" s="22">
        <f t="shared" si="306"/>
        <v>140106.226</v>
      </c>
      <c r="Q226" s="22">
        <f>Q227+Q228+Q229+Q230</f>
        <v>0</v>
      </c>
      <c r="R226" s="22">
        <f t="shared" si="307"/>
        <v>140106.226</v>
      </c>
      <c r="S226" s="22">
        <f>S227+S228+S229+S230</f>
        <v>-12236.62</v>
      </c>
      <c r="T226" s="22">
        <f t="shared" si="308"/>
        <v>127869.606</v>
      </c>
      <c r="U226" s="22">
        <f>U227+U228+U229+U230</f>
        <v>-1632.0450000000001</v>
      </c>
      <c r="V226" s="22">
        <f t="shared" si="309"/>
        <v>126237.561</v>
      </c>
      <c r="W226" s="22">
        <f>W227+W228+W229+W230</f>
        <v>-43992.239000000001</v>
      </c>
      <c r="X226" s="22">
        <f t="shared" si="310"/>
        <v>82245.322</v>
      </c>
      <c r="Y226" s="22">
        <f>Y227+Y228+Y229+Y230</f>
        <v>-478.34899999999999</v>
      </c>
      <c r="Z226" s="70">
        <f t="shared" si="311"/>
        <v>81766.972999999998</v>
      </c>
      <c r="AA226" s="48"/>
      <c r="AB226" s="49"/>
      <c r="AC226" s="52"/>
    </row>
    <row r="227" spans="1:29" ht="54" x14ac:dyDescent="0.3">
      <c r="A227" s="64" t="s">
        <v>224</v>
      </c>
      <c r="B227" s="73" t="s">
        <v>59</v>
      </c>
      <c r="C227" s="72" t="s">
        <v>45</v>
      </c>
      <c r="D227" s="23">
        <v>9933.7000000000007</v>
      </c>
      <c r="E227" s="23">
        <v>2890.1930000000002</v>
      </c>
      <c r="F227" s="23">
        <f t="shared" si="302"/>
        <v>12823.893</v>
      </c>
      <c r="G227" s="23"/>
      <c r="H227" s="23">
        <f t="shared" si="301"/>
        <v>12823.893</v>
      </c>
      <c r="I227" s="23"/>
      <c r="J227" s="23">
        <f t="shared" si="303"/>
        <v>12823.893</v>
      </c>
      <c r="K227" s="23">
        <v>-25.863</v>
      </c>
      <c r="L227" s="23">
        <f t="shared" si="304"/>
        <v>12798.03</v>
      </c>
      <c r="M227" s="23"/>
      <c r="N227" s="23">
        <f t="shared" si="305"/>
        <v>12798.03</v>
      </c>
      <c r="O227" s="23">
        <v>1153.5899999999999</v>
      </c>
      <c r="P227" s="23">
        <f t="shared" si="306"/>
        <v>13951.62</v>
      </c>
      <c r="Q227" s="23"/>
      <c r="R227" s="23">
        <f t="shared" si="307"/>
        <v>13951.62</v>
      </c>
      <c r="S227" s="23"/>
      <c r="T227" s="23">
        <f t="shared" si="308"/>
        <v>13951.62</v>
      </c>
      <c r="U227" s="23"/>
      <c r="V227" s="23">
        <f t="shared" si="309"/>
        <v>13951.62</v>
      </c>
      <c r="W227" s="23"/>
      <c r="X227" s="23">
        <f t="shared" si="310"/>
        <v>13951.62</v>
      </c>
      <c r="Y227" s="24">
        <v>-478.34899999999999</v>
      </c>
      <c r="Z227" s="70">
        <f t="shared" si="311"/>
        <v>13473.271000000001</v>
      </c>
      <c r="AA227" s="16" t="s">
        <v>62</v>
      </c>
    </row>
    <row r="228" spans="1:29" ht="54" x14ac:dyDescent="0.3">
      <c r="A228" s="64" t="s">
        <v>225</v>
      </c>
      <c r="B228" s="73" t="s">
        <v>60</v>
      </c>
      <c r="C228" s="72" t="s">
        <v>45</v>
      </c>
      <c r="D228" s="23">
        <v>55416.7</v>
      </c>
      <c r="E228" s="23"/>
      <c r="F228" s="23">
        <f t="shared" si="302"/>
        <v>55416.7</v>
      </c>
      <c r="G228" s="23"/>
      <c r="H228" s="23">
        <f t="shared" si="301"/>
        <v>55416.7</v>
      </c>
      <c r="I228" s="23"/>
      <c r="J228" s="23">
        <f t="shared" si="303"/>
        <v>55416.7</v>
      </c>
      <c r="K228" s="23"/>
      <c r="L228" s="23">
        <f t="shared" si="304"/>
        <v>55416.7</v>
      </c>
      <c r="M228" s="23"/>
      <c r="N228" s="23">
        <f t="shared" si="305"/>
        <v>55416.7</v>
      </c>
      <c r="O228" s="23"/>
      <c r="P228" s="23">
        <f t="shared" si="306"/>
        <v>55416.7</v>
      </c>
      <c r="Q228" s="23"/>
      <c r="R228" s="23">
        <f t="shared" si="307"/>
        <v>55416.7</v>
      </c>
      <c r="S228" s="23"/>
      <c r="T228" s="23">
        <f t="shared" si="308"/>
        <v>55416.7</v>
      </c>
      <c r="U228" s="23"/>
      <c r="V228" s="23">
        <f t="shared" si="309"/>
        <v>55416.7</v>
      </c>
      <c r="W228" s="23">
        <v>-43992.239000000001</v>
      </c>
      <c r="X228" s="23">
        <f t="shared" si="310"/>
        <v>11424.460999999996</v>
      </c>
      <c r="Y228" s="24"/>
      <c r="Z228" s="70">
        <f t="shared" si="311"/>
        <v>11424.460999999996</v>
      </c>
      <c r="AA228" s="16" t="s">
        <v>63</v>
      </c>
    </row>
    <row r="229" spans="1:29" ht="54" x14ac:dyDescent="0.3">
      <c r="A229" s="64" t="s">
        <v>226</v>
      </c>
      <c r="B229" s="73" t="s">
        <v>61</v>
      </c>
      <c r="C229" s="73" t="s">
        <v>292</v>
      </c>
      <c r="D229" s="23">
        <v>69540.800000000003</v>
      </c>
      <c r="E229" s="23">
        <v>-1873.7</v>
      </c>
      <c r="F229" s="23">
        <f t="shared" si="302"/>
        <v>67667.100000000006</v>
      </c>
      <c r="G229" s="23"/>
      <c r="H229" s="23">
        <f t="shared" si="301"/>
        <v>67667.100000000006</v>
      </c>
      <c r="I229" s="23"/>
      <c r="J229" s="23">
        <f t="shared" si="303"/>
        <v>67667.100000000006</v>
      </c>
      <c r="K229" s="23"/>
      <c r="L229" s="23">
        <f t="shared" si="304"/>
        <v>67667.100000000006</v>
      </c>
      <c r="M229" s="23"/>
      <c r="N229" s="23">
        <f t="shared" si="305"/>
        <v>67667.100000000006</v>
      </c>
      <c r="O229" s="23"/>
      <c r="P229" s="23">
        <f t="shared" si="306"/>
        <v>67667.100000000006</v>
      </c>
      <c r="Q229" s="23"/>
      <c r="R229" s="23">
        <f t="shared" si="307"/>
        <v>67667.100000000006</v>
      </c>
      <c r="S229" s="23">
        <v>-9165.8140000000003</v>
      </c>
      <c r="T229" s="23">
        <f t="shared" si="308"/>
        <v>58501.286000000007</v>
      </c>
      <c r="U229" s="23">
        <v>-1632.0450000000001</v>
      </c>
      <c r="V229" s="23">
        <f t="shared" si="309"/>
        <v>56869.241000000009</v>
      </c>
      <c r="W229" s="23"/>
      <c r="X229" s="23">
        <f t="shared" si="310"/>
        <v>56869.241000000009</v>
      </c>
      <c r="Y229" s="24"/>
      <c r="Z229" s="70">
        <f t="shared" si="311"/>
        <v>56869.241000000009</v>
      </c>
      <c r="AA229" s="16" t="s">
        <v>64</v>
      </c>
    </row>
    <row r="230" spans="1:29" s="2" customFormat="1" ht="54" hidden="1" x14ac:dyDescent="0.3">
      <c r="A230" s="1" t="s">
        <v>229</v>
      </c>
      <c r="B230" s="4" t="s">
        <v>234</v>
      </c>
      <c r="C230" s="42" t="s">
        <v>45</v>
      </c>
      <c r="D230" s="23"/>
      <c r="E230" s="23"/>
      <c r="F230" s="23"/>
      <c r="G230" s="23">
        <v>3070.806</v>
      </c>
      <c r="H230" s="23">
        <f t="shared" si="301"/>
        <v>3070.806</v>
      </c>
      <c r="I230" s="23"/>
      <c r="J230" s="23">
        <f t="shared" si="303"/>
        <v>3070.806</v>
      </c>
      <c r="K230" s="23"/>
      <c r="L230" s="23">
        <f t="shared" si="304"/>
        <v>3070.806</v>
      </c>
      <c r="M230" s="23"/>
      <c r="N230" s="23">
        <f t="shared" si="305"/>
        <v>3070.806</v>
      </c>
      <c r="O230" s="23"/>
      <c r="P230" s="23">
        <f t="shared" si="306"/>
        <v>3070.806</v>
      </c>
      <c r="Q230" s="23"/>
      <c r="R230" s="23">
        <f t="shared" si="307"/>
        <v>3070.806</v>
      </c>
      <c r="S230" s="23">
        <v>-3070.806</v>
      </c>
      <c r="T230" s="23">
        <f t="shared" si="308"/>
        <v>0</v>
      </c>
      <c r="U230" s="23"/>
      <c r="V230" s="23">
        <f t="shared" si="309"/>
        <v>0</v>
      </c>
      <c r="W230" s="23"/>
      <c r="X230" s="23">
        <f t="shared" si="310"/>
        <v>0</v>
      </c>
      <c r="Y230" s="24"/>
      <c r="Z230" s="23">
        <f t="shared" si="311"/>
        <v>0</v>
      </c>
      <c r="AA230" s="16" t="s">
        <v>235</v>
      </c>
      <c r="AB230" s="6">
        <v>0</v>
      </c>
    </row>
    <row r="231" spans="1:29" x14ac:dyDescent="0.3">
      <c r="A231" s="64"/>
      <c r="B231" s="73" t="s">
        <v>25</v>
      </c>
      <c r="C231" s="72"/>
      <c r="D231" s="22">
        <f>D232</f>
        <v>36453</v>
      </c>
      <c r="E231" s="22">
        <f>E232</f>
        <v>0</v>
      </c>
      <c r="F231" s="22">
        <f t="shared" si="302"/>
        <v>36453</v>
      </c>
      <c r="G231" s="22">
        <f>G232</f>
        <v>0</v>
      </c>
      <c r="H231" s="22">
        <f t="shared" si="301"/>
        <v>36453</v>
      </c>
      <c r="I231" s="22">
        <f>I232</f>
        <v>0</v>
      </c>
      <c r="J231" s="22">
        <f t="shared" si="303"/>
        <v>36453</v>
      </c>
      <c r="K231" s="22">
        <f>K232</f>
        <v>0</v>
      </c>
      <c r="L231" s="22">
        <f t="shared" si="304"/>
        <v>36453</v>
      </c>
      <c r="M231" s="22">
        <f>M232</f>
        <v>0</v>
      </c>
      <c r="N231" s="22">
        <f t="shared" si="305"/>
        <v>36453</v>
      </c>
      <c r="O231" s="22">
        <f>O232</f>
        <v>0</v>
      </c>
      <c r="P231" s="22">
        <f>N231+O231</f>
        <v>36453</v>
      </c>
      <c r="Q231" s="22">
        <f>Q232</f>
        <v>0</v>
      </c>
      <c r="R231" s="22">
        <f>P231+Q231</f>
        <v>36453</v>
      </c>
      <c r="S231" s="22">
        <f>S232</f>
        <v>0</v>
      </c>
      <c r="T231" s="22">
        <f>R231+S231</f>
        <v>36453</v>
      </c>
      <c r="U231" s="22">
        <f>U232</f>
        <v>0</v>
      </c>
      <c r="V231" s="22">
        <f>T231+U231</f>
        <v>36453</v>
      </c>
      <c r="W231" s="22">
        <f>W232</f>
        <v>14700</v>
      </c>
      <c r="X231" s="22">
        <f>V231+W231</f>
        <v>51153</v>
      </c>
      <c r="Y231" s="22">
        <f>Y232</f>
        <v>0</v>
      </c>
      <c r="Z231" s="70">
        <f>X231+Y231</f>
        <v>51153</v>
      </c>
      <c r="AA231" s="48"/>
      <c r="AB231" s="49"/>
      <c r="AC231" s="52"/>
    </row>
    <row r="232" spans="1:29" ht="54" x14ac:dyDescent="0.3">
      <c r="A232" s="64" t="s">
        <v>227</v>
      </c>
      <c r="B232" s="73" t="s">
        <v>172</v>
      </c>
      <c r="C232" s="72" t="s">
        <v>45</v>
      </c>
      <c r="D232" s="23">
        <v>36453</v>
      </c>
      <c r="E232" s="23"/>
      <c r="F232" s="23">
        <f t="shared" si="302"/>
        <v>36453</v>
      </c>
      <c r="G232" s="23"/>
      <c r="H232" s="23">
        <f t="shared" si="301"/>
        <v>36453</v>
      </c>
      <c r="I232" s="23"/>
      <c r="J232" s="23">
        <f t="shared" si="303"/>
        <v>36453</v>
      </c>
      <c r="K232" s="23"/>
      <c r="L232" s="23">
        <f t="shared" si="304"/>
        <v>36453</v>
      </c>
      <c r="M232" s="23"/>
      <c r="N232" s="23">
        <f t="shared" si="305"/>
        <v>36453</v>
      </c>
      <c r="O232" s="23"/>
      <c r="P232" s="23">
        <f t="shared" si="306"/>
        <v>36453</v>
      </c>
      <c r="Q232" s="23"/>
      <c r="R232" s="23">
        <f t="shared" ref="R232" si="312">P232+Q232</f>
        <v>36453</v>
      </c>
      <c r="S232" s="23"/>
      <c r="T232" s="23">
        <f t="shared" ref="T232" si="313">R232+S232</f>
        <v>36453</v>
      </c>
      <c r="U232" s="23"/>
      <c r="V232" s="23">
        <f t="shared" ref="V232" si="314">T232+U232</f>
        <v>36453</v>
      </c>
      <c r="W232" s="23">
        <v>14700</v>
      </c>
      <c r="X232" s="23">
        <f t="shared" ref="X232" si="315">V232+W232</f>
        <v>51153</v>
      </c>
      <c r="Y232" s="24"/>
      <c r="Z232" s="70">
        <f t="shared" ref="Z232" si="316">X232+Y232</f>
        <v>51153</v>
      </c>
      <c r="AA232" s="16" t="s">
        <v>295</v>
      </c>
    </row>
    <row r="233" spans="1:29" x14ac:dyDescent="0.3">
      <c r="A233" s="64"/>
      <c r="B233" s="73" t="s">
        <v>269</v>
      </c>
      <c r="C233" s="7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>
        <f>O235+O236</f>
        <v>300000</v>
      </c>
      <c r="P233" s="22">
        <f>N233+O233</f>
        <v>300000</v>
      </c>
      <c r="Q233" s="22">
        <f>Q235+Q236</f>
        <v>0</v>
      </c>
      <c r="R233" s="22">
        <f>P233+Q233</f>
        <v>300000</v>
      </c>
      <c r="S233" s="22">
        <f>S235+S236</f>
        <v>2080</v>
      </c>
      <c r="T233" s="22">
        <f>R233+S233</f>
        <v>302080</v>
      </c>
      <c r="U233" s="22">
        <f>U235+U236</f>
        <v>0</v>
      </c>
      <c r="V233" s="22">
        <f>T233+U233</f>
        <v>302080</v>
      </c>
      <c r="W233" s="22">
        <f>W235+W236</f>
        <v>0</v>
      </c>
      <c r="X233" s="22">
        <f>V233+W233</f>
        <v>302080</v>
      </c>
      <c r="Y233" s="22">
        <f>Y235+Y236</f>
        <v>0</v>
      </c>
      <c r="Z233" s="70">
        <f>X233+Y233</f>
        <v>302080</v>
      </c>
      <c r="AA233" s="48"/>
      <c r="AB233" s="49"/>
      <c r="AC233" s="52"/>
    </row>
    <row r="234" spans="1:29" x14ac:dyDescent="0.3">
      <c r="A234" s="64"/>
      <c r="B234" s="73" t="s">
        <v>2</v>
      </c>
      <c r="C234" s="7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70"/>
    </row>
    <row r="235" spans="1:29" s="2" customFormat="1" hidden="1" x14ac:dyDescent="0.3">
      <c r="A235" s="1"/>
      <c r="B235" s="4" t="s">
        <v>3</v>
      </c>
      <c r="C235" s="40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>
        <f>O239</f>
        <v>15000</v>
      </c>
      <c r="P235" s="23">
        <f t="shared" ref="P235" si="317">N235+O235</f>
        <v>15000</v>
      </c>
      <c r="Q235" s="23">
        <f>Q239</f>
        <v>0</v>
      </c>
      <c r="R235" s="23">
        <f t="shared" ref="R235" si="318">P235+Q235</f>
        <v>15000</v>
      </c>
      <c r="S235" s="23">
        <f>S239+S241</f>
        <v>2080</v>
      </c>
      <c r="T235" s="23">
        <f t="shared" ref="T235" si="319">R235+S235</f>
        <v>17080</v>
      </c>
      <c r="U235" s="23">
        <f>U239+U241</f>
        <v>0</v>
      </c>
      <c r="V235" s="23">
        <f t="shared" ref="V235" si="320">T235+U235</f>
        <v>17080</v>
      </c>
      <c r="W235" s="23">
        <f>W239+W241</f>
        <v>0</v>
      </c>
      <c r="X235" s="23">
        <f t="shared" ref="X235" si="321">V235+W235</f>
        <v>17080</v>
      </c>
      <c r="Y235" s="23">
        <f>Y239+Y241</f>
        <v>0</v>
      </c>
      <c r="Z235" s="23">
        <f t="shared" ref="Z235" si="322">X235+Y235</f>
        <v>17080</v>
      </c>
      <c r="AA235" s="16"/>
      <c r="AB235" s="6">
        <v>0</v>
      </c>
    </row>
    <row r="236" spans="1:29" x14ac:dyDescent="0.3">
      <c r="A236" s="64"/>
      <c r="B236" s="73" t="s">
        <v>16</v>
      </c>
      <c r="C236" s="7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>
        <f>O240</f>
        <v>285000</v>
      </c>
      <c r="P236" s="23">
        <f>N236+O236</f>
        <v>285000</v>
      </c>
      <c r="Q236" s="23">
        <f>Q240</f>
        <v>0</v>
      </c>
      <c r="R236" s="23">
        <f>P236+Q236</f>
        <v>285000</v>
      </c>
      <c r="S236" s="23">
        <f>S240</f>
        <v>0</v>
      </c>
      <c r="T236" s="23">
        <f>R236+S236</f>
        <v>285000</v>
      </c>
      <c r="U236" s="23">
        <f>U240</f>
        <v>0</v>
      </c>
      <c r="V236" s="23">
        <f>T236+U236</f>
        <v>285000</v>
      </c>
      <c r="W236" s="23">
        <f>W240</f>
        <v>0</v>
      </c>
      <c r="X236" s="23">
        <f>V236+W236</f>
        <v>285000</v>
      </c>
      <c r="Y236" s="23">
        <f>Y240</f>
        <v>0</v>
      </c>
      <c r="Z236" s="70">
        <f>X236+Y236</f>
        <v>285000</v>
      </c>
    </row>
    <row r="237" spans="1:29" ht="99" customHeight="1" x14ac:dyDescent="0.3">
      <c r="A237" s="64" t="s">
        <v>228</v>
      </c>
      <c r="B237" s="73" t="s">
        <v>267</v>
      </c>
      <c r="C237" s="72" t="s">
        <v>15</v>
      </c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>
        <f>O239+O240</f>
        <v>300000</v>
      </c>
      <c r="P237" s="23">
        <f t="shared" si="306"/>
        <v>300000</v>
      </c>
      <c r="Q237" s="23">
        <f>Q239+Q240</f>
        <v>0</v>
      </c>
      <c r="R237" s="23">
        <f t="shared" ref="R237" si="323">P237+Q237</f>
        <v>300000</v>
      </c>
      <c r="S237" s="23">
        <f>S239+S240</f>
        <v>0</v>
      </c>
      <c r="T237" s="23">
        <f t="shared" ref="T237" si="324">R237+S237</f>
        <v>300000</v>
      </c>
      <c r="U237" s="23">
        <f>U239+U240</f>
        <v>0</v>
      </c>
      <c r="V237" s="23">
        <f t="shared" ref="V237" si="325">T237+U237</f>
        <v>300000</v>
      </c>
      <c r="W237" s="23">
        <f>W239+W240</f>
        <v>0</v>
      </c>
      <c r="X237" s="23">
        <f t="shared" ref="X237" si="326">V237+W237</f>
        <v>300000</v>
      </c>
      <c r="Y237" s="24">
        <f>Y239+Y240</f>
        <v>0</v>
      </c>
      <c r="Z237" s="70">
        <f t="shared" ref="Z237" si="327">X237+Y237</f>
        <v>300000</v>
      </c>
    </row>
    <row r="238" spans="1:29" x14ac:dyDescent="0.3">
      <c r="A238" s="64"/>
      <c r="B238" s="73" t="s">
        <v>2</v>
      </c>
      <c r="C238" s="7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4"/>
      <c r="Z238" s="70"/>
    </row>
    <row r="239" spans="1:29" s="2" customFormat="1" hidden="1" x14ac:dyDescent="0.3">
      <c r="A239" s="1"/>
      <c r="B239" s="4" t="s">
        <v>3</v>
      </c>
      <c r="C239" s="40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>
        <v>15000</v>
      </c>
      <c r="P239" s="23">
        <f t="shared" si="306"/>
        <v>15000</v>
      </c>
      <c r="Q239" s="23"/>
      <c r="R239" s="23">
        <f t="shared" ref="R239:R240" si="328">P239+Q239</f>
        <v>15000</v>
      </c>
      <c r="S239" s="23"/>
      <c r="T239" s="23">
        <f t="shared" ref="T239" si="329">R239+S239</f>
        <v>15000</v>
      </c>
      <c r="U239" s="23"/>
      <c r="V239" s="23">
        <f t="shared" ref="V239" si="330">T239+U239</f>
        <v>15000</v>
      </c>
      <c r="W239" s="23"/>
      <c r="X239" s="23">
        <f t="shared" ref="X239" si="331">V239+W239</f>
        <v>15000</v>
      </c>
      <c r="Y239" s="24"/>
      <c r="Z239" s="23">
        <f t="shared" ref="Z239" si="332">X239+Y239</f>
        <v>15000</v>
      </c>
      <c r="AA239" s="16" t="s">
        <v>268</v>
      </c>
      <c r="AB239" s="6">
        <v>0</v>
      </c>
    </row>
    <row r="240" spans="1:29" x14ac:dyDescent="0.3">
      <c r="A240" s="64"/>
      <c r="B240" s="73" t="s">
        <v>16</v>
      </c>
      <c r="C240" s="7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>
        <v>285000</v>
      </c>
      <c r="P240" s="23">
        <f t="shared" si="306"/>
        <v>285000</v>
      </c>
      <c r="Q240" s="23"/>
      <c r="R240" s="23">
        <f t="shared" si="328"/>
        <v>285000</v>
      </c>
      <c r="S240" s="23"/>
      <c r="T240" s="23">
        <f>R240+S240</f>
        <v>285000</v>
      </c>
      <c r="U240" s="23"/>
      <c r="V240" s="23">
        <f>T240+U240</f>
        <v>285000</v>
      </c>
      <c r="W240" s="23"/>
      <c r="X240" s="23">
        <f>V240+W240</f>
        <v>285000</v>
      </c>
      <c r="Y240" s="24"/>
      <c r="Z240" s="70">
        <f>X240+Y240</f>
        <v>285000</v>
      </c>
      <c r="AA240" s="16" t="s">
        <v>268</v>
      </c>
    </row>
    <row r="241" spans="1:28" ht="54" x14ac:dyDescent="0.3">
      <c r="A241" s="64" t="s">
        <v>229</v>
      </c>
      <c r="B241" s="73" t="s">
        <v>278</v>
      </c>
      <c r="C241" s="72" t="s">
        <v>15</v>
      </c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>
        <v>2080</v>
      </c>
      <c r="T241" s="23">
        <f>R241+S241</f>
        <v>2080</v>
      </c>
      <c r="U241" s="23"/>
      <c r="V241" s="23">
        <f>T241+U241</f>
        <v>2080</v>
      </c>
      <c r="W241" s="23"/>
      <c r="X241" s="23">
        <f>V241+W241</f>
        <v>2080</v>
      </c>
      <c r="Y241" s="24"/>
      <c r="Z241" s="70">
        <f>X241+Y241</f>
        <v>2080</v>
      </c>
      <c r="AA241" s="16" t="s">
        <v>274</v>
      </c>
    </row>
    <row r="242" spans="1:28" x14ac:dyDescent="0.3">
      <c r="A242" s="64"/>
      <c r="B242" s="120" t="s">
        <v>9</v>
      </c>
      <c r="C242" s="121"/>
      <c r="D242" s="23">
        <f>D18+D81+D127+D148+D212+D226+D231+D209</f>
        <v>4781178.4000000004</v>
      </c>
      <c r="E242" s="23">
        <f>E18+E81+E127+E148+E212+E226+E231+E209</f>
        <v>-16936.260999999988</v>
      </c>
      <c r="F242" s="23">
        <f t="shared" si="302"/>
        <v>4764242.1390000004</v>
      </c>
      <c r="G242" s="23">
        <f>G18+G81+G127+G148+G212+G226+G231+G209</f>
        <v>287474.32</v>
      </c>
      <c r="H242" s="23">
        <f>F242+G242</f>
        <v>5051716.4590000007</v>
      </c>
      <c r="I242" s="23">
        <f>I18+I81+I127+I148+I212+I226+I231+I209</f>
        <v>0</v>
      </c>
      <c r="J242" s="23">
        <f>H242+I242</f>
        <v>5051716.4590000007</v>
      </c>
      <c r="K242" s="23">
        <f>K18+K81+K127+K148+K212+K226+K231+K209</f>
        <v>263381.408</v>
      </c>
      <c r="L242" s="23">
        <f>J242+K242</f>
        <v>5315097.8670000006</v>
      </c>
      <c r="M242" s="23">
        <f>M18+M81+M127+M148+M212+M226+M231+M209</f>
        <v>-23185.34</v>
      </c>
      <c r="N242" s="23">
        <f>L242+M242</f>
        <v>5291912.5270000007</v>
      </c>
      <c r="O242" s="23">
        <f>O18+O81+O127+O148+O212+O226+O231+O209+O233</f>
        <v>1401404.1689999998</v>
      </c>
      <c r="P242" s="23">
        <f>N242+O242</f>
        <v>6693316.6960000005</v>
      </c>
      <c r="Q242" s="23">
        <f>Q18+Q81+Q127+Q148+Q212+Q226+Q231+Q209+Q233</f>
        <v>0</v>
      </c>
      <c r="R242" s="23">
        <f>P242+Q242</f>
        <v>6693316.6960000005</v>
      </c>
      <c r="S242" s="23">
        <f>S18+S81+S127+S148+S212+S226+S231+S209+S233</f>
        <v>-107975.93000000001</v>
      </c>
      <c r="T242" s="23">
        <f>R242+S242</f>
        <v>6585340.7660000008</v>
      </c>
      <c r="U242" s="23">
        <f>U18+U81+U127+U148+U212+U226+U231+U209+U233</f>
        <v>-3898.6390000000001</v>
      </c>
      <c r="V242" s="23">
        <f>T242+U242</f>
        <v>6581442.1270000003</v>
      </c>
      <c r="W242" s="23">
        <f>W18+W81+W127+W148+W212+W226+W231+W209+W233</f>
        <v>-181968.95500000002</v>
      </c>
      <c r="X242" s="23">
        <f>V242+W242</f>
        <v>6399473.1720000003</v>
      </c>
      <c r="Y242" s="24">
        <f>Y18+Y81+Y127+Y148+Y212+Y226+Y231+Y209+Y233</f>
        <v>-387338.73499999999</v>
      </c>
      <c r="Z242" s="70">
        <f>X242+Y242</f>
        <v>6012134.4369999999</v>
      </c>
    </row>
    <row r="243" spans="1:28" x14ac:dyDescent="0.3">
      <c r="A243" s="64"/>
      <c r="B243" s="120" t="s">
        <v>10</v>
      </c>
      <c r="C243" s="1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4"/>
      <c r="Z243" s="70"/>
    </row>
    <row r="244" spans="1:28" x14ac:dyDescent="0.3">
      <c r="A244" s="64"/>
      <c r="B244" s="123" t="s">
        <v>24</v>
      </c>
      <c r="C244" s="124"/>
      <c r="D244" s="23">
        <f>D151</f>
        <v>958419.5</v>
      </c>
      <c r="E244" s="23">
        <f>E151</f>
        <v>100000</v>
      </c>
      <c r="F244" s="23">
        <f t="shared" si="302"/>
        <v>1058419.5</v>
      </c>
      <c r="G244" s="23">
        <f>G151</f>
        <v>0</v>
      </c>
      <c r="H244" s="23">
        <f t="shared" ref="H244:H246" si="333">F244+G244</f>
        <v>1058419.5</v>
      </c>
      <c r="I244" s="23">
        <f>I151</f>
        <v>0</v>
      </c>
      <c r="J244" s="23">
        <f t="shared" ref="J244:J246" si="334">H244+I244</f>
        <v>1058419.5</v>
      </c>
      <c r="K244" s="23">
        <f>K151</f>
        <v>212800</v>
      </c>
      <c r="L244" s="23">
        <f t="shared" ref="L244:L246" si="335">J244+K244</f>
        <v>1271219.5</v>
      </c>
      <c r="M244" s="23">
        <f>M151</f>
        <v>0</v>
      </c>
      <c r="N244" s="23">
        <f t="shared" ref="N244:N246" si="336">L244+M244</f>
        <v>1271219.5</v>
      </c>
      <c r="O244" s="23">
        <f>O151</f>
        <v>-231585</v>
      </c>
      <c r="P244" s="23">
        <f t="shared" ref="P244:P247" si="337">N244+O244</f>
        <v>1039634.5</v>
      </c>
      <c r="Q244" s="23">
        <f>Q151</f>
        <v>0</v>
      </c>
      <c r="R244" s="23">
        <f t="shared" ref="R244:R247" si="338">P244+Q244</f>
        <v>1039634.5</v>
      </c>
      <c r="S244" s="23">
        <f>S151</f>
        <v>0</v>
      </c>
      <c r="T244" s="23">
        <f t="shared" ref="T244" si="339">R244+S244</f>
        <v>1039634.5</v>
      </c>
      <c r="U244" s="23">
        <f>U151</f>
        <v>0</v>
      </c>
      <c r="V244" s="23">
        <f t="shared" ref="V244" si="340">T244+U244</f>
        <v>1039634.5</v>
      </c>
      <c r="W244" s="23">
        <f>W151</f>
        <v>0</v>
      </c>
      <c r="X244" s="23">
        <f t="shared" ref="X244" si="341">V244+W244</f>
        <v>1039634.5</v>
      </c>
      <c r="Y244" s="24">
        <f>Y151</f>
        <v>0</v>
      </c>
      <c r="Z244" s="70">
        <f t="shared" ref="Z244" si="342">X244+Y244</f>
        <v>1039634.5</v>
      </c>
    </row>
    <row r="245" spans="1:28" x14ac:dyDescent="0.3">
      <c r="A245" s="64"/>
      <c r="B245" s="89" t="s">
        <v>16</v>
      </c>
      <c r="C245" s="90"/>
      <c r="D245" s="23">
        <f>D84+D21+D130+D215</f>
        <v>1120929.5999999999</v>
      </c>
      <c r="E245" s="23">
        <f>E84+E21+E130+E215</f>
        <v>-683.3</v>
      </c>
      <c r="F245" s="23">
        <f t="shared" si="302"/>
        <v>1120246.2999999998</v>
      </c>
      <c r="G245" s="23">
        <f>G84+G21+G130+G215</f>
        <v>0</v>
      </c>
      <c r="H245" s="23">
        <f t="shared" si="333"/>
        <v>1120246.2999999998</v>
      </c>
      <c r="I245" s="23">
        <f>I84+I21+I130+I215</f>
        <v>0</v>
      </c>
      <c r="J245" s="23">
        <f t="shared" si="334"/>
        <v>1120246.2999999998</v>
      </c>
      <c r="K245" s="23">
        <f>K84+K21+K130+K215</f>
        <v>-83064.659</v>
      </c>
      <c r="L245" s="23">
        <f t="shared" si="335"/>
        <v>1037181.6409999998</v>
      </c>
      <c r="M245" s="23">
        <f>M84+M21+M130+M215</f>
        <v>0</v>
      </c>
      <c r="N245" s="23">
        <f t="shared" si="336"/>
        <v>1037181.6409999998</v>
      </c>
      <c r="O245" s="23">
        <f>O84+O21+O130+O215+O240</f>
        <v>479038.59600000002</v>
      </c>
      <c r="P245" s="23">
        <f t="shared" si="337"/>
        <v>1516220.2369999997</v>
      </c>
      <c r="Q245" s="23">
        <f>Q84+Q21+Q130+Q215+Q236</f>
        <v>0</v>
      </c>
      <c r="R245" s="23">
        <f>P245+Q245</f>
        <v>1516220.2369999997</v>
      </c>
      <c r="S245" s="23">
        <f>S84+S21+S130+S215+S236</f>
        <v>0</v>
      </c>
      <c r="T245" s="23">
        <f>R245+S245</f>
        <v>1516220.2369999997</v>
      </c>
      <c r="U245" s="23">
        <f>U84+U21+U130+U215+U236</f>
        <v>0</v>
      </c>
      <c r="V245" s="23">
        <f>T245+U245</f>
        <v>1516220.2369999997</v>
      </c>
      <c r="W245" s="23">
        <f>W84+W21+W130+W215+W236</f>
        <v>0</v>
      </c>
      <c r="X245" s="23">
        <f>V245+W245</f>
        <v>1516220.2369999997</v>
      </c>
      <c r="Y245" s="24">
        <f>Y84+Y21+Y130+Y215+Y236</f>
        <v>0</v>
      </c>
      <c r="Z245" s="70">
        <f>X245+Y245</f>
        <v>1516220.2369999997</v>
      </c>
    </row>
    <row r="246" spans="1:28" x14ac:dyDescent="0.3">
      <c r="A246" s="64"/>
      <c r="B246" s="89" t="s">
        <v>20</v>
      </c>
      <c r="C246" s="90"/>
      <c r="D246" s="23">
        <f>D22</f>
        <v>50494.8</v>
      </c>
      <c r="E246" s="23">
        <f>E22+E85</f>
        <v>131739.79999999999</v>
      </c>
      <c r="F246" s="23">
        <f t="shared" si="302"/>
        <v>182234.59999999998</v>
      </c>
      <c r="G246" s="23">
        <f>G22+G85</f>
        <v>0</v>
      </c>
      <c r="H246" s="23">
        <f t="shared" si="333"/>
        <v>182234.59999999998</v>
      </c>
      <c r="I246" s="23">
        <f>I22+I85</f>
        <v>0</v>
      </c>
      <c r="J246" s="23">
        <f t="shared" si="334"/>
        <v>182234.59999999998</v>
      </c>
      <c r="K246" s="23">
        <f>K22+K85</f>
        <v>182598.3</v>
      </c>
      <c r="L246" s="23">
        <f t="shared" si="335"/>
        <v>364832.89999999997</v>
      </c>
      <c r="M246" s="23">
        <f>M22+M85</f>
        <v>0</v>
      </c>
      <c r="N246" s="23">
        <f t="shared" si="336"/>
        <v>364832.89999999997</v>
      </c>
      <c r="O246" s="23">
        <f>O22+O85</f>
        <v>0</v>
      </c>
      <c r="P246" s="23">
        <f t="shared" si="337"/>
        <v>364832.89999999997</v>
      </c>
      <c r="Q246" s="23">
        <f>Q22+Q85</f>
        <v>0</v>
      </c>
      <c r="R246" s="23">
        <f t="shared" si="338"/>
        <v>364832.89999999997</v>
      </c>
      <c r="S246" s="23">
        <f>S22+S85</f>
        <v>0</v>
      </c>
      <c r="T246" s="23">
        <f t="shared" ref="T246:T247" si="343">R246+S246</f>
        <v>364832.89999999997</v>
      </c>
      <c r="U246" s="23">
        <f>U22+U85</f>
        <v>0</v>
      </c>
      <c r="V246" s="23">
        <f t="shared" ref="V246:V247" si="344">T246+U246</f>
        <v>364832.89999999997</v>
      </c>
      <c r="W246" s="23">
        <f>W22+W85</f>
        <v>0</v>
      </c>
      <c r="X246" s="23">
        <f t="shared" ref="X246:X247" si="345">V246+W246</f>
        <v>364832.89999999997</v>
      </c>
      <c r="Y246" s="24">
        <f>Y22+Y85</f>
        <v>0</v>
      </c>
      <c r="Z246" s="70">
        <f t="shared" ref="Z246:Z247" si="346">X246+Y246</f>
        <v>364832.89999999997</v>
      </c>
    </row>
    <row r="247" spans="1:28" x14ac:dyDescent="0.3">
      <c r="A247" s="64"/>
      <c r="B247" s="123" t="s">
        <v>261</v>
      </c>
      <c r="C247" s="13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>
        <f>O86</f>
        <v>1177740.0319999999</v>
      </c>
      <c r="P247" s="23">
        <f t="shared" si="337"/>
        <v>1177740.0319999999</v>
      </c>
      <c r="Q247" s="23">
        <f>Q86</f>
        <v>0</v>
      </c>
      <c r="R247" s="23">
        <f t="shared" si="338"/>
        <v>1177740.0319999999</v>
      </c>
      <c r="S247" s="23">
        <f>S86</f>
        <v>0</v>
      </c>
      <c r="T247" s="23">
        <f t="shared" si="343"/>
        <v>1177740.0319999999</v>
      </c>
      <c r="U247" s="23">
        <f>U86</f>
        <v>0</v>
      </c>
      <c r="V247" s="23">
        <f t="shared" si="344"/>
        <v>1177740.0319999999</v>
      </c>
      <c r="W247" s="23">
        <f>W86</f>
        <v>0</v>
      </c>
      <c r="X247" s="23">
        <f t="shared" si="345"/>
        <v>1177740.0319999999</v>
      </c>
      <c r="Y247" s="24">
        <f>Y86</f>
        <v>-352757.74599999998</v>
      </c>
      <c r="Z247" s="70">
        <f t="shared" si="346"/>
        <v>824982.28599999985</v>
      </c>
    </row>
    <row r="248" spans="1:28" x14ac:dyDescent="0.3">
      <c r="A248" s="64"/>
      <c r="B248" s="116" t="s">
        <v>14</v>
      </c>
      <c r="C248" s="125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4"/>
      <c r="Z248" s="70"/>
    </row>
    <row r="249" spans="1:28" x14ac:dyDescent="0.3">
      <c r="A249" s="64"/>
      <c r="B249" s="116" t="s">
        <v>11</v>
      </c>
      <c r="C249" s="117"/>
      <c r="D249" s="23">
        <f>D38+D39+D54+D66+D67+D68+D69</f>
        <v>91162</v>
      </c>
      <c r="E249" s="23">
        <f>E38+E39+E54+E66+E67+E68+E69</f>
        <v>0</v>
      </c>
      <c r="F249" s="23">
        <f t="shared" si="302"/>
        <v>91162</v>
      </c>
      <c r="G249" s="23">
        <f>G38+G39+G54+G66+G67+G68+G69</f>
        <v>0</v>
      </c>
      <c r="H249" s="23">
        <f t="shared" ref="H249:H255" si="347">F249+G249</f>
        <v>91162</v>
      </c>
      <c r="I249" s="23">
        <f>I38+I39+I54+I66+I67+I68+I69</f>
        <v>0</v>
      </c>
      <c r="J249" s="23">
        <f t="shared" ref="J249:J255" si="348">H249+I249</f>
        <v>91162</v>
      </c>
      <c r="K249" s="23">
        <f>K38+K39+K54+K66+K67+K68+K69+K75</f>
        <v>8008.2999999999993</v>
      </c>
      <c r="L249" s="23">
        <f t="shared" ref="L249:L255" si="349">J249+K249</f>
        <v>99170.3</v>
      </c>
      <c r="M249" s="23">
        <f>M38+M39+M54+M66+M67+M68+M69+M75</f>
        <v>0</v>
      </c>
      <c r="N249" s="23">
        <f t="shared" ref="N249:N255" si="350">L249+M249</f>
        <v>99170.3</v>
      </c>
      <c r="O249" s="23">
        <f>O38+O39+O54+O66+O67+O68+O69+O75+O44</f>
        <v>10205.543</v>
      </c>
      <c r="P249" s="23">
        <f t="shared" ref="P249:P255" si="351">N249+O249</f>
        <v>109375.84300000001</v>
      </c>
      <c r="Q249" s="23">
        <f>Q38+Q39+Q54+Q66+Q67+Q68+Q69+Q75+Q44</f>
        <v>0</v>
      </c>
      <c r="R249" s="23">
        <f t="shared" ref="R249:R255" si="352">P249+Q249</f>
        <v>109375.84300000001</v>
      </c>
      <c r="S249" s="23">
        <f>S38+S39+S54+S66+S67+S68+S69+S75+S44</f>
        <v>-1760.09</v>
      </c>
      <c r="T249" s="23">
        <f t="shared" ref="T249:T255" si="353">R249+S249</f>
        <v>107615.75300000001</v>
      </c>
      <c r="U249" s="23">
        <f>U38+U39+U54+U66+U67+U68+U69+U75+U44</f>
        <v>0</v>
      </c>
      <c r="V249" s="23">
        <f t="shared" ref="V249:V255" si="354">T249+U249</f>
        <v>107615.75300000001</v>
      </c>
      <c r="W249" s="23">
        <f>W38+W39+W54+W66+W67+W68+W69+W75+W44</f>
        <v>0</v>
      </c>
      <c r="X249" s="23">
        <f t="shared" ref="X249:X256" si="355">V249+W249</f>
        <v>107615.75300000001</v>
      </c>
      <c r="Y249" s="24">
        <f>Y38+Y39+Y54+Y66+Y67+Y68+Y69+Y75+Y44</f>
        <v>-1853.77</v>
      </c>
      <c r="Z249" s="70">
        <f t="shared" ref="Z249:Z256" si="356">X249+Y249</f>
        <v>105761.98300000001</v>
      </c>
    </row>
    <row r="250" spans="1:28" x14ac:dyDescent="0.3">
      <c r="A250" s="64"/>
      <c r="B250" s="118" t="s">
        <v>18</v>
      </c>
      <c r="C250" s="119"/>
      <c r="D250" s="23">
        <f>D87+D89+D90+D91+D92+D93+D95+D97+D98+D99+D101+D103+D104+D217+D221+D223+D224+D227+D228+D232+D210+D23+D28+D33+D45+D49+D50+D58+D63+D64+D65</f>
        <v>1471905.2000000002</v>
      </c>
      <c r="E250" s="23">
        <f>E87+E89+E90+E91+E92+E93+E95+E97+E98+E99+E101+E103+E104+E217+E221+E223+E224+E227+E228+E232+E210+E23+E28+E33+E45+E49+E50+E58+E63+E64+E65</f>
        <v>-81119.061000000002</v>
      </c>
      <c r="F250" s="23">
        <f t="shared" si="302"/>
        <v>1390786.1390000002</v>
      </c>
      <c r="G250" s="23">
        <f>G87+G89+G90+G91+G92+G93+G95+G97+G98+G99+G101+G103+G104+G217+G221+G223+G224+G227+G228+G232+G210+G23+G28+G33+G45+G49+G50+G58+G63+G64+G65+G211+G230</f>
        <v>22737.729000000003</v>
      </c>
      <c r="H250" s="23">
        <f t="shared" si="347"/>
        <v>1413523.8680000002</v>
      </c>
      <c r="I250" s="23">
        <f>I87+I89+I90+I91+I92+I93+I95+I97+I98+I99+I101+I103+I104+I217+I221+I223+I224+I227+I228+I232+I210+I23+I28+I33+I45+I49+I50+I58+I63+I64+I65+I211+I230</f>
        <v>0</v>
      </c>
      <c r="J250" s="23">
        <f t="shared" si="348"/>
        <v>1413523.8680000002</v>
      </c>
      <c r="K250" s="23">
        <f>K87+K89+K90+K91+K92+K93+K95+K97+K98+K99+K101+K103+K104+K217+K221+K223+K224+K227+K228+K232+K210+K23+K28+K33+K45+K49+K50+K58+K63+K64+K65+K211+K230+K70</f>
        <v>-32234.291999999958</v>
      </c>
      <c r="L250" s="23">
        <f t="shared" si="349"/>
        <v>1381289.5760000004</v>
      </c>
      <c r="M250" s="23">
        <f>M87+M89+M90+M91+M92+M93+M95+M97+M98+M99+M101+M103+M104+M217+M221+M223+M224+M227+M228+M232+M210+M23+M28+M33+M45+M49+M50+M58+M63+M64+M65+M211+M230+M70</f>
        <v>-23185.34</v>
      </c>
      <c r="N250" s="23">
        <f t="shared" si="350"/>
        <v>1358104.2360000003</v>
      </c>
      <c r="O250" s="23">
        <f>O87+O89+O90+O91+O92+O93+O95+O97+O98+O99+O101+O103+O104+O217+O221+O223+O224+O227+O228+O232+O210+O23+O28+O33+O45+O49+O50+O58+O63+O64+O65+O211+O230+O70+O121</f>
        <v>4701.2790000000005</v>
      </c>
      <c r="P250" s="23">
        <f t="shared" si="351"/>
        <v>1362805.5150000004</v>
      </c>
      <c r="Q250" s="23">
        <f>Q87+Q89+Q90+Q91+Q92+Q93+Q95+Q97+Q98+Q99+Q101+Q103+Q104+Q217+Q221+Q223+Q224+Q227+Q228+Q232+Q210+Q23+Q28+Q33+Q45+Q49+Q50+Q58+Q63+Q64+Q65+Q211+Q230+Q70+Q121</f>
        <v>0</v>
      </c>
      <c r="R250" s="23">
        <f t="shared" si="352"/>
        <v>1362805.5150000004</v>
      </c>
      <c r="S250" s="23">
        <f>S87+S89+S90+S91+S92+S93+S95+S97+S98+S99+S101+S103+S104+S217+S221+S223+S224+S227+S228+S232+S210+S23+S28+S33+S45+S49+S50+S58+S63+S64+S65+S211+S230+S70+S121+S76+S77+S126+S124</f>
        <v>-134248.035</v>
      </c>
      <c r="T250" s="23">
        <f t="shared" si="353"/>
        <v>1228557.4800000004</v>
      </c>
      <c r="U250" s="23">
        <f>U87+U89+U90+U91+U92+U93+U95+U97+U98+U99+U101+U103+U104+U217+U221+U223+U224+U227+U228+U232+U210+U23+U28+U33+U45+U49+U50+U58+U63+U64+U65+U211+U230+U70+U121+U76+U77+U126+U124</f>
        <v>-2266.5940000000001</v>
      </c>
      <c r="V250" s="23">
        <f t="shared" si="354"/>
        <v>1226290.8860000004</v>
      </c>
      <c r="W250" s="23">
        <f>W87+W89+W90+W91+W92+W93+W95+W97+W98+W99+W101+W103+W104+W217+W221+W223+W224+W227+W228+W232+W210+W23+W28+W33+W45+W49+W50+W58+W63+W64+W65+W211+W230+W70+W121+W76+W77+W126+W124+W78+W79+W80</f>
        <v>-88066.12</v>
      </c>
      <c r="X250" s="23">
        <f t="shared" si="355"/>
        <v>1138224.7660000003</v>
      </c>
      <c r="Y250" s="24">
        <f>Y87+Y89+Y90+Y91+Y92+Y93+Y95+Y97+Y98+Y99+Y101+Y103+Y104+Y217+Y221+Y223+Y224+Y227+Y228+Y232+Y210+Y23+Y28+Y33+Y45+Y49+Y50+Y58+Y63+Y64+Y65+Y211+Y230+Y70+Y121+Y76+Y77+Y126+Y124+Y78+Y79+Y80+491</f>
        <v>-34009.883000000002</v>
      </c>
      <c r="Z250" s="70">
        <f t="shared" si="356"/>
        <v>1104214.8830000004</v>
      </c>
    </row>
    <row r="251" spans="1:28" x14ac:dyDescent="0.3">
      <c r="A251" s="64"/>
      <c r="B251" s="112" t="s">
        <v>12</v>
      </c>
      <c r="C251" s="113"/>
      <c r="D251" s="23">
        <f>D111+D114+D105</f>
        <v>1173733.3</v>
      </c>
      <c r="E251" s="23">
        <f>E111+E114+E105</f>
        <v>131056.5</v>
      </c>
      <c r="F251" s="23">
        <f t="shared" si="302"/>
        <v>1304789.8</v>
      </c>
      <c r="G251" s="23">
        <f>G111+G114+G105</f>
        <v>0</v>
      </c>
      <c r="H251" s="23">
        <f t="shared" si="347"/>
        <v>1304789.8</v>
      </c>
      <c r="I251" s="23">
        <f>I111+I114+I105</f>
        <v>0</v>
      </c>
      <c r="J251" s="23">
        <f t="shared" si="348"/>
        <v>1304789.8</v>
      </c>
      <c r="K251" s="23">
        <f>K111+K114+K105</f>
        <v>0</v>
      </c>
      <c r="L251" s="23">
        <f t="shared" si="349"/>
        <v>1304789.8</v>
      </c>
      <c r="M251" s="23">
        <f>M111+M114+M105</f>
        <v>0</v>
      </c>
      <c r="N251" s="23">
        <f t="shared" si="350"/>
        <v>1304789.8</v>
      </c>
      <c r="O251" s="23">
        <f>O111+O114+O105</f>
        <v>1414443.6209999998</v>
      </c>
      <c r="P251" s="23">
        <f t="shared" si="351"/>
        <v>2719233.4210000001</v>
      </c>
      <c r="Q251" s="23">
        <f>Q111+Q114+Q105</f>
        <v>0</v>
      </c>
      <c r="R251" s="23">
        <f t="shared" si="352"/>
        <v>2719233.4210000001</v>
      </c>
      <c r="S251" s="23">
        <f>S111+S114+S105</f>
        <v>14874.74</v>
      </c>
      <c r="T251" s="23">
        <f t="shared" si="353"/>
        <v>2734108.1610000003</v>
      </c>
      <c r="U251" s="23">
        <f>U111+U114+U105</f>
        <v>0</v>
      </c>
      <c r="V251" s="23">
        <f t="shared" si="354"/>
        <v>2734108.1610000003</v>
      </c>
      <c r="W251" s="23">
        <f>W111+W114+W105</f>
        <v>-107.95</v>
      </c>
      <c r="X251" s="23">
        <f t="shared" si="355"/>
        <v>2734000.2110000001</v>
      </c>
      <c r="Y251" s="24">
        <f>Y111+Y114+Y105</f>
        <v>-348143.98599999998</v>
      </c>
      <c r="Z251" s="70">
        <f t="shared" si="356"/>
        <v>2385856.2250000001</v>
      </c>
    </row>
    <row r="252" spans="1:28" x14ac:dyDescent="0.3">
      <c r="A252" s="64"/>
      <c r="B252" s="116" t="s">
        <v>297</v>
      </c>
      <c r="C252" s="117"/>
      <c r="D252" s="23">
        <f>D131+D132+D133+D134+D135+D136+D137+D138+D142+D143+D152+D156+D160+D164+D168+D172+D176+D180+D181+D182+D183+D187+D229</f>
        <v>1870190.6</v>
      </c>
      <c r="E252" s="23">
        <f>E131+E132+E133+E134+E135+E136+E137+E138+E142+E143+E152+E156+E160+E164+E168+E172+E176+E180+E181+E182+E183+E187+E229</f>
        <v>98126.3</v>
      </c>
      <c r="F252" s="23">
        <f t="shared" si="302"/>
        <v>1968316.9000000001</v>
      </c>
      <c r="G252" s="23">
        <f>G131+G132+G133+G134+G135+G136+G137+G138+G142+G143+G152+G156+G160+G164+G168+G172+G176+G180+G181+G182+G183+G187+G229+G191+G192+G193+G194+G195+G144+G145+G146+G147</f>
        <v>216238.28499999997</v>
      </c>
      <c r="H252" s="23">
        <f t="shared" si="347"/>
        <v>2184555.1850000001</v>
      </c>
      <c r="I252" s="23">
        <f>I131+I132+I133+I134+I135+I136+I137+I138+I142+I143+I152+I156+I160+I164+I168+I172+I176+I180+I181+I182+I183+I187+I229+I191+I192+I193+I194+I195+I144+I145+I146+I147</f>
        <v>0</v>
      </c>
      <c r="J252" s="23">
        <f t="shared" si="348"/>
        <v>2184555.1850000001</v>
      </c>
      <c r="K252" s="23">
        <f>K131+K132+K133+K134+K135+K136+K137+K138+K142+K143+K152+K156+K160+K164+K168+K172+K176+K180+K181+K182+K183+K187+K229+K191+K192+K193+K194+K195+K144+K145+K146+K147+K196+K204</f>
        <v>283733.40000000002</v>
      </c>
      <c r="L252" s="23">
        <f t="shared" si="349"/>
        <v>2468288.585</v>
      </c>
      <c r="M252" s="23">
        <f>M131+M132+M133+M134+M135+M136+M137+M138+M142+M143+M152+M156+M160+M164+M168+M172+M176+M180+M181+M182+M183+M187+M229+M191+M192+M193+M194+M195+M144+M145+M146+M147+M196+M204</f>
        <v>0</v>
      </c>
      <c r="N252" s="23">
        <f t="shared" si="350"/>
        <v>2468288.585</v>
      </c>
      <c r="O252" s="23">
        <f>O131+O132+O133+O134+O135+O136+O137+O138+O142+O143+O152+O156+O160+O164+O168+O172+O176+O180+O181+O182+O183+O187+O229+O191+O192+O193+O194+O195+O144+O145+O146+O147+O196+O204+O208</f>
        <v>-319391.85400000005</v>
      </c>
      <c r="P252" s="23">
        <f t="shared" si="351"/>
        <v>2148896.7309999997</v>
      </c>
      <c r="Q252" s="23">
        <f>Q131+Q132+Q133+Q134+Q135+Q136+Q137+Q138+Q142+Q143+Q152+Q156+Q160+Q164+Q168+Q172+Q176+Q180+Q181+Q182+Q183+Q187+Q229+Q191+Q192+Q193+Q194+Q195+Q144+Q145+Q146+Q147+Q196+Q204+Q208</f>
        <v>0</v>
      </c>
      <c r="R252" s="23">
        <f t="shared" si="352"/>
        <v>2148896.7309999997</v>
      </c>
      <c r="S252" s="23">
        <f>S131+S132+S133+S134+S135+S136+S137+S138+S142+S143+S152+S156+S160+S164+S168+S172+S176+S180+S181+S182+S183+S187+S229+S191+S192+S193+S194+S195+S144+S145+S146+S147+S196+S204+S208</f>
        <v>22060.512000000002</v>
      </c>
      <c r="T252" s="23">
        <f t="shared" si="353"/>
        <v>2170957.2429999998</v>
      </c>
      <c r="U252" s="23">
        <f>U131+U132+U133+U134+U135+U136+U137+U138+U142+U143+U152+U156+U160+U164+U168+U172+U176+U180+U181+U182+U183+U187+U229+U191+U192+U193+U194+U195+U144+U145+U146+U147+U196+U204+U208</f>
        <v>-1632.0450000000001</v>
      </c>
      <c r="V252" s="23">
        <f t="shared" si="354"/>
        <v>2169325.1979999999</v>
      </c>
      <c r="W252" s="23">
        <f>W131+W132+W133+W134+W135+W136+W137+W138+W142+W143+W152+W156+W160+W164+W168+W172+W176+W180+W181+W182+W183+W187+W229+W191+W192+W193+W194+W195+W144+W145+W146+W147+W196+W204+W208</f>
        <v>-373654.28500000003</v>
      </c>
      <c r="X252" s="23">
        <f t="shared" si="355"/>
        <v>1795670.9129999997</v>
      </c>
      <c r="Y252" s="24">
        <f>Y131+Y132+Y133+Y134+Y135+Y136+Y137+Y138+Y142+Y143+Y152+Y156+Y160+Y164+Y168+Y172+Y176+Y180+Y181+Y182+Y183+Y187+Y229+Y191+Y192+Y193+Y194+Y195+Y144+Y145+Y146+Y147+Y196+Y204+Y208</f>
        <v>-471.02800000000002</v>
      </c>
      <c r="Z252" s="70">
        <f t="shared" si="356"/>
        <v>1795199.8849999998</v>
      </c>
    </row>
    <row r="253" spans="1:28" s="2" customFormat="1" hidden="1" x14ac:dyDescent="0.3">
      <c r="A253" s="1"/>
      <c r="B253" s="114" t="s">
        <v>8</v>
      </c>
      <c r="C253" s="115"/>
      <c r="D253" s="23">
        <f>D216</f>
        <v>9187.2999999999993</v>
      </c>
      <c r="E253" s="23">
        <f>E216</f>
        <v>0</v>
      </c>
      <c r="F253" s="23">
        <f t="shared" si="302"/>
        <v>9187.2999999999993</v>
      </c>
      <c r="G253" s="23">
        <f>G216</f>
        <v>0</v>
      </c>
      <c r="H253" s="23">
        <f t="shared" si="347"/>
        <v>9187.2999999999993</v>
      </c>
      <c r="I253" s="23">
        <f>I216</f>
        <v>0</v>
      </c>
      <c r="J253" s="23">
        <f t="shared" si="348"/>
        <v>9187.2999999999993</v>
      </c>
      <c r="K253" s="23">
        <f>K216+K225</f>
        <v>3874</v>
      </c>
      <c r="L253" s="23">
        <f t="shared" si="349"/>
        <v>13061.3</v>
      </c>
      <c r="M253" s="23">
        <f>M216+M225</f>
        <v>0</v>
      </c>
      <c r="N253" s="23">
        <f t="shared" si="350"/>
        <v>13061.3</v>
      </c>
      <c r="O253" s="23">
        <f>O216+O225</f>
        <v>0</v>
      </c>
      <c r="P253" s="23">
        <f t="shared" si="351"/>
        <v>13061.3</v>
      </c>
      <c r="Q253" s="23">
        <f>Q216+Q225</f>
        <v>0</v>
      </c>
      <c r="R253" s="23">
        <f t="shared" si="352"/>
        <v>13061.3</v>
      </c>
      <c r="S253" s="23">
        <f>S216+S225</f>
        <v>-9187.2999999999993</v>
      </c>
      <c r="T253" s="23">
        <f t="shared" si="353"/>
        <v>3874</v>
      </c>
      <c r="U253" s="23">
        <f>U216+U225</f>
        <v>0</v>
      </c>
      <c r="V253" s="23">
        <f t="shared" si="354"/>
        <v>3874</v>
      </c>
      <c r="W253" s="23">
        <f>W216+W225</f>
        <v>-3874</v>
      </c>
      <c r="X253" s="23">
        <f t="shared" si="355"/>
        <v>0</v>
      </c>
      <c r="Y253" s="24">
        <f>Y216+Y225</f>
        <v>0</v>
      </c>
      <c r="Z253" s="23">
        <f t="shared" si="356"/>
        <v>0</v>
      </c>
      <c r="AA253" s="16"/>
      <c r="AB253" s="6">
        <v>0</v>
      </c>
    </row>
    <row r="254" spans="1:28" x14ac:dyDescent="0.3">
      <c r="A254" s="91"/>
      <c r="B254" s="112" t="s">
        <v>15</v>
      </c>
      <c r="C254" s="113"/>
      <c r="D254" s="23">
        <f>D222</f>
        <v>165000</v>
      </c>
      <c r="E254" s="23">
        <f>E222</f>
        <v>-165000</v>
      </c>
      <c r="F254" s="23">
        <f t="shared" si="302"/>
        <v>0</v>
      </c>
      <c r="G254" s="23">
        <f>G222</f>
        <v>0</v>
      </c>
      <c r="H254" s="23">
        <f t="shared" si="347"/>
        <v>0</v>
      </c>
      <c r="I254" s="23">
        <f>I222</f>
        <v>0</v>
      </c>
      <c r="J254" s="23">
        <f t="shared" si="348"/>
        <v>0</v>
      </c>
      <c r="K254" s="23">
        <f>K222</f>
        <v>0</v>
      </c>
      <c r="L254" s="23">
        <f t="shared" si="349"/>
        <v>0</v>
      </c>
      <c r="M254" s="23">
        <f>M222</f>
        <v>0</v>
      </c>
      <c r="N254" s="23">
        <f t="shared" si="350"/>
        <v>0</v>
      </c>
      <c r="O254" s="23">
        <f>O222+O237</f>
        <v>300000</v>
      </c>
      <c r="P254" s="23">
        <f t="shared" si="351"/>
        <v>300000</v>
      </c>
      <c r="Q254" s="23">
        <f>Q222+Q237</f>
        <v>0</v>
      </c>
      <c r="R254" s="23">
        <f t="shared" si="352"/>
        <v>300000</v>
      </c>
      <c r="S254" s="23">
        <f>S222+S237+S241</f>
        <v>2080</v>
      </c>
      <c r="T254" s="23">
        <f t="shared" si="353"/>
        <v>302080</v>
      </c>
      <c r="U254" s="23">
        <f>U222+U237+U241</f>
        <v>0</v>
      </c>
      <c r="V254" s="23">
        <f t="shared" si="354"/>
        <v>302080</v>
      </c>
      <c r="W254" s="23">
        <f>W222+W237+W241</f>
        <v>0</v>
      </c>
      <c r="X254" s="23">
        <f t="shared" si="355"/>
        <v>302080</v>
      </c>
      <c r="Y254" s="24">
        <f>Y222+Y237+Y241</f>
        <v>0</v>
      </c>
      <c r="Z254" s="70">
        <f t="shared" si="356"/>
        <v>302080</v>
      </c>
    </row>
    <row r="255" spans="1:28" x14ac:dyDescent="0.3">
      <c r="A255" s="91"/>
      <c r="B255" s="112" t="s">
        <v>213</v>
      </c>
      <c r="C255" s="113"/>
      <c r="D255" s="37"/>
      <c r="E255" s="37"/>
      <c r="F255" s="37"/>
      <c r="G255" s="23">
        <f>G88+G100+G102+G118+G119+G120+G122+G123+G125</f>
        <v>48498.305999999997</v>
      </c>
      <c r="H255" s="23">
        <f t="shared" si="347"/>
        <v>48498.305999999997</v>
      </c>
      <c r="I255" s="23">
        <f>I88+I100+I102+I118+I119+I120+I122+I123+I125</f>
        <v>0</v>
      </c>
      <c r="J255" s="23">
        <f t="shared" si="348"/>
        <v>48498.305999999997</v>
      </c>
      <c r="K255" s="23">
        <f>K88+K100+K102+K118+K119+K120+K122+K123+K125</f>
        <v>0</v>
      </c>
      <c r="L255" s="23">
        <f t="shared" si="349"/>
        <v>48498.305999999997</v>
      </c>
      <c r="M255" s="23">
        <f>M88+M100+M102+M118+M119+M120+M122+M123+M125</f>
        <v>0</v>
      </c>
      <c r="N255" s="23">
        <f t="shared" si="350"/>
        <v>48498.305999999997</v>
      </c>
      <c r="O255" s="23">
        <f>O88+O100+O102+O118+O119+O120+O122+O123+O125</f>
        <v>-8554.42</v>
      </c>
      <c r="P255" s="23">
        <f t="shared" si="351"/>
        <v>39943.885999999999</v>
      </c>
      <c r="Q255" s="23">
        <f>Q88+Q100+Q102+Q118+Q119+Q120+Q122+Q123+Q125</f>
        <v>0</v>
      </c>
      <c r="R255" s="23">
        <f t="shared" si="352"/>
        <v>39943.885999999999</v>
      </c>
      <c r="S255" s="23">
        <f>S88+S100+S102+S118+S119+S120+S122+S123+S125</f>
        <v>-1795.7570000000001</v>
      </c>
      <c r="T255" s="23">
        <f t="shared" si="353"/>
        <v>38148.129000000001</v>
      </c>
      <c r="U255" s="23">
        <f>U88+U100+U102+U118+U119+U120+U122+U123+U125</f>
        <v>0</v>
      </c>
      <c r="V255" s="23">
        <f t="shared" si="354"/>
        <v>38148.129000000001</v>
      </c>
      <c r="W255" s="23">
        <f>W88+W100+W102+W118+W119+W120+W122+W123+W125+W94+W96</f>
        <v>0</v>
      </c>
      <c r="X255" s="23">
        <f t="shared" si="355"/>
        <v>38148.129000000001</v>
      </c>
      <c r="Y255" s="24">
        <f>Y88+Y100+Y102+Y118+Y119+Y120+Y122+Y123+Y125+Y94+Y96-491</f>
        <v>-2860.0679999999998</v>
      </c>
      <c r="Z255" s="70">
        <f t="shared" si="356"/>
        <v>35288.061000000002</v>
      </c>
    </row>
    <row r="256" spans="1:28" x14ac:dyDescent="0.3">
      <c r="A256" s="91"/>
      <c r="B256" s="112" t="s">
        <v>293</v>
      </c>
      <c r="C256" s="113"/>
      <c r="D256" s="37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23">
        <f>W200</f>
        <v>283733.40000000002</v>
      </c>
      <c r="X256" s="23">
        <f t="shared" si="355"/>
        <v>283733.40000000002</v>
      </c>
      <c r="Y256" s="24">
        <f>Y200</f>
        <v>0</v>
      </c>
      <c r="Z256" s="70">
        <f t="shared" si="356"/>
        <v>283733.40000000002</v>
      </c>
    </row>
  </sheetData>
  <autoFilter ref="A17:AB256">
    <filterColumn colId="27">
      <filters blank="1"/>
    </filterColumn>
  </autoFilter>
  <mergeCells count="47">
    <mergeCell ref="C4:Z4"/>
    <mergeCell ref="B256:C256"/>
    <mergeCell ref="E16:E17"/>
    <mergeCell ref="K16:K17"/>
    <mergeCell ref="L16:L17"/>
    <mergeCell ref="Q16:Q17"/>
    <mergeCell ref="F16:F17"/>
    <mergeCell ref="B87:B88"/>
    <mergeCell ref="B44:B45"/>
    <mergeCell ref="B247:C247"/>
    <mergeCell ref="R16:R17"/>
    <mergeCell ref="O16:O17"/>
    <mergeCell ref="P16:P17"/>
    <mergeCell ref="M16:M17"/>
    <mergeCell ref="N16:N17"/>
    <mergeCell ref="S16:S17"/>
    <mergeCell ref="T16:T17"/>
    <mergeCell ref="A87:A88"/>
    <mergeCell ref="A44:A45"/>
    <mergeCell ref="B255:C255"/>
    <mergeCell ref="B253:C253"/>
    <mergeCell ref="B252:C252"/>
    <mergeCell ref="B251:C251"/>
    <mergeCell ref="B254:C254"/>
    <mergeCell ref="A216:A217"/>
    <mergeCell ref="B250:C250"/>
    <mergeCell ref="B242:C242"/>
    <mergeCell ref="B243:C243"/>
    <mergeCell ref="B244:C244"/>
    <mergeCell ref="B248:C248"/>
    <mergeCell ref="B249:C249"/>
    <mergeCell ref="Y16:Y17"/>
    <mergeCell ref="Z16:Z17"/>
    <mergeCell ref="A11:Z11"/>
    <mergeCell ref="A12:Z13"/>
    <mergeCell ref="W16:W17"/>
    <mergeCell ref="X16:X17"/>
    <mergeCell ref="I16:I17"/>
    <mergeCell ref="J16:J17"/>
    <mergeCell ref="G16:G17"/>
    <mergeCell ref="H16:H17"/>
    <mergeCell ref="C16:C17"/>
    <mergeCell ref="D16:D17"/>
    <mergeCell ref="A16:A17"/>
    <mergeCell ref="B16:B17"/>
    <mergeCell ref="U16:U17"/>
    <mergeCell ref="V16:V17"/>
  </mergeCells>
  <pageMargins left="0.98425196850393704" right="0.39370078740157483" top="0.39" bottom="0.78740157480314965" header="0.31496062992125984" footer="0.31496062992125984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2019-12-17T05:55:23Z</cp:lastPrinted>
  <dcterms:created xsi:type="dcterms:W3CDTF">2013-10-12T06:09:22Z</dcterms:created>
  <dcterms:modified xsi:type="dcterms:W3CDTF">2019-12-17T10:56:05Z</dcterms:modified>
</cp:coreProperties>
</file>