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I175" i="2"/>
  <c r="I164"/>
  <c r="H174"/>
  <c r="I100"/>
  <c r="H109"/>
  <c r="H17"/>
  <c r="H162"/>
  <c r="H146"/>
  <c r="H167"/>
  <c r="H142"/>
  <c r="H164"/>
  <c r="H165"/>
  <c r="H170"/>
  <c r="H160"/>
  <c r="H159"/>
  <c r="H158"/>
  <c r="H157"/>
  <c r="H156"/>
  <c r="H155"/>
  <c r="H154"/>
  <c r="H152"/>
  <c r="H151"/>
  <c r="H150"/>
  <c r="H148"/>
  <c r="H145"/>
  <c r="H144"/>
  <c r="H143"/>
  <c r="H141"/>
  <c r="H140"/>
  <c r="H138"/>
  <c r="H137"/>
  <c r="H135"/>
  <c r="H173"/>
  <c r="H171"/>
  <c r="H166"/>
  <c r="H133"/>
  <c r="H132"/>
  <c r="H131"/>
  <c r="H130"/>
  <c r="H129"/>
  <c r="H128"/>
  <c r="H126"/>
  <c r="H125"/>
  <c r="H122"/>
  <c r="H111"/>
  <c r="H120"/>
  <c r="H119"/>
  <c r="H118"/>
  <c r="H117"/>
  <c r="H116"/>
  <c r="H114"/>
  <c r="H113"/>
  <c r="H108"/>
  <c r="H107"/>
  <c r="H106"/>
  <c r="H104"/>
  <c r="H103"/>
  <c r="H100"/>
  <c r="H98"/>
  <c r="H97"/>
  <c r="H96"/>
  <c r="H95"/>
  <c r="H94"/>
  <c r="H93"/>
  <c r="H92"/>
  <c r="H90"/>
  <c r="H88"/>
  <c r="H87"/>
  <c r="H86"/>
  <c r="H85"/>
  <c r="H84"/>
  <c r="H83"/>
  <c r="H82"/>
  <c r="H80"/>
  <c r="H79"/>
  <c r="H77"/>
  <c r="H76"/>
  <c r="H74"/>
  <c r="H73"/>
  <c r="H72"/>
  <c r="H71"/>
  <c r="H70"/>
  <c r="H69"/>
  <c r="H68"/>
  <c r="H66"/>
  <c r="H65"/>
  <c r="H63"/>
  <c r="H61"/>
  <c r="H60"/>
  <c r="H59"/>
  <c r="H58"/>
  <c r="H57"/>
  <c r="H56"/>
  <c r="H55"/>
  <c r="H54"/>
  <c r="H52"/>
  <c r="H51"/>
  <c r="H50"/>
  <c r="H48"/>
  <c r="H46"/>
  <c r="H45"/>
  <c r="H44"/>
  <c r="H43"/>
  <c r="H42"/>
  <c r="H41"/>
  <c r="H40"/>
  <c r="H39"/>
  <c r="H37"/>
  <c r="H36"/>
  <c r="H35"/>
  <c r="H33"/>
  <c r="H31"/>
  <c r="H30"/>
  <c r="H29"/>
  <c r="H28"/>
  <c r="H27"/>
  <c r="H26"/>
  <c r="H25"/>
  <c r="H24"/>
  <c r="H23"/>
  <c r="H21"/>
  <c r="H20"/>
  <c r="H18"/>
  <c r="H16"/>
  <c r="H15"/>
  <c r="H13"/>
  <c r="H12"/>
  <c r="H11"/>
  <c r="H9"/>
  <c r="H163" l="1"/>
  <c r="I148" s="1"/>
  <c r="H147"/>
  <c r="I135" s="1"/>
  <c r="H99"/>
  <c r="I90" s="1"/>
  <c r="H110"/>
  <c r="H134"/>
  <c r="I122" s="1"/>
  <c r="H47"/>
  <c r="I33" s="1"/>
  <c r="H62"/>
  <c r="H75"/>
  <c r="I63" s="1"/>
  <c r="H89"/>
  <c r="I76" s="1"/>
  <c r="H121"/>
  <c r="I111" s="1"/>
  <c r="H32"/>
  <c r="I20" s="1"/>
  <c r="I48"/>
  <c r="H14"/>
  <c r="H19" s="1"/>
  <c r="I9" l="1"/>
</calcChain>
</file>

<file path=xl/sharedStrings.xml><?xml version="1.0" encoding="utf-8"?>
<sst xmlns="http://schemas.openxmlformats.org/spreadsheetml/2006/main" count="321" uniqueCount="140">
  <si>
    <t>№п/п</t>
  </si>
  <si>
    <t>Мероприятие</t>
  </si>
  <si>
    <t>Наименование расходов</t>
  </si>
  <si>
    <t>Расчет</t>
  </si>
  <si>
    <t>Сумма</t>
  </si>
  <si>
    <t>(руб.)</t>
  </si>
  <si>
    <t>Итого</t>
  </si>
  <si>
    <t>Занятия по общефизической подготовке с жителями Ленинского района</t>
  </si>
  <si>
    <t>Директор мероприятия</t>
  </si>
  <si>
    <t xml:space="preserve"> 1чел*4611*8 мес.</t>
  </si>
  <si>
    <t>Тренер - инструктор</t>
  </si>
  <si>
    <t>540 час. * 250 руб.</t>
  </si>
  <si>
    <t>Судейство</t>
  </si>
  <si>
    <t>Судья 3 чел.*200 руб.*30 соревнований</t>
  </si>
  <si>
    <t>Врач</t>
  </si>
  <si>
    <t>1 чел. * 60 руб. * 60 час.</t>
  </si>
  <si>
    <t>Начисления на заработную плату</t>
  </si>
  <si>
    <t>193 488 * 30,2%</t>
  </si>
  <si>
    <t>Охрана мероприятия</t>
  </si>
  <si>
    <t>1 чел.*60 час.*200 руб.</t>
  </si>
  <si>
    <t>Медикаменты</t>
  </si>
  <si>
    <t>300 руб.* 30 соревнований</t>
  </si>
  <si>
    <t>Канцелярские принадлежности</t>
  </si>
  <si>
    <t>Приобретение спортивного инвентаря</t>
  </si>
  <si>
    <t>1 300 руб.* 30 спортивных площадок</t>
  </si>
  <si>
    <t>НДС</t>
  </si>
  <si>
    <t>Спортивно-массовые мероприятия по пляжным видам спорта (пляжный волейбол, пляжный футбол, пляжный регбол) на территории Ленинского района</t>
  </si>
  <si>
    <t xml:space="preserve"> 1чел * 500 * 3 мероприятия</t>
  </si>
  <si>
    <t>ГСК 2 чел.* 700 руб.* 6 дней</t>
  </si>
  <si>
    <t>Судья 4 чел. * 300 руб.* 3 дня</t>
  </si>
  <si>
    <t>1 чел. * 6 час.* 60 руб.</t>
  </si>
  <si>
    <t>300 руб. * 3 мероприятия</t>
  </si>
  <si>
    <t>300 руб.  * 3 мероприятия</t>
  </si>
  <si>
    <t>Спортивный инвентарь</t>
  </si>
  <si>
    <t>500 руб. * 3 мероприятия</t>
  </si>
  <si>
    <t>Изготовление афиш</t>
  </si>
  <si>
    <t>100 руб. * 10 ед.</t>
  </si>
  <si>
    <t>Размещение информации в СМИ</t>
  </si>
  <si>
    <t>1 объявление * 800 руб.</t>
  </si>
  <si>
    <t>1 чел. * 200 руб. * 6 час.</t>
  </si>
  <si>
    <t xml:space="preserve">Награждение  </t>
  </si>
  <si>
    <t xml:space="preserve"> 20% от сметы мероприятия</t>
  </si>
  <si>
    <t>Спортивный праздник, посвященный Дню России и Дню города</t>
  </si>
  <si>
    <t>ГСК 2 чел. * 700 руб.* 2 дня</t>
  </si>
  <si>
    <t>Судьи 12 чел. * 350 руб. * 1 день</t>
  </si>
  <si>
    <t>Ведущий</t>
  </si>
  <si>
    <t>1 чел. * 2 000 руб.</t>
  </si>
  <si>
    <t>1 чел. *2 час.* 60 руб.</t>
  </si>
  <si>
    <t>1 мероприятие * 500 руб.</t>
  </si>
  <si>
    <t>1 мероприятие * 800 руб.</t>
  </si>
  <si>
    <t>Прокат звукоусилительной аппаратуры</t>
  </si>
  <si>
    <t>2 часа * 900 руб.</t>
  </si>
  <si>
    <t>1 чел. * 200 руб. * 2 часа</t>
  </si>
  <si>
    <t>20% от сметы мероприятия</t>
  </si>
  <si>
    <t>Спортивный праздник, посвященный Дню Физкультурника</t>
  </si>
  <si>
    <t>Судьи 12 чел. * 350 руб.</t>
  </si>
  <si>
    <t>Соревнования по гребле на байдарках и каноэ</t>
  </si>
  <si>
    <t>ГСК 2 чел.* 700 руб.* 2 дня</t>
  </si>
  <si>
    <t>Судьи 8 чел. * 350 руб. * 1 день</t>
  </si>
  <si>
    <t>1 чел. * 2 часа * 60 руб.</t>
  </si>
  <si>
    <t>1 мероприятие * 300 руб.</t>
  </si>
  <si>
    <t>1 мероприятие * 3 000 руб.</t>
  </si>
  <si>
    <t>Соревнования по велокроссу</t>
  </si>
  <si>
    <t>Начальник дистанции</t>
  </si>
  <si>
    <t>1 чел.*350 руб.* 2 дня</t>
  </si>
  <si>
    <t>Судьи 12 чел. * 350 руб.* 1 день</t>
  </si>
  <si>
    <t>1 мероприятие * 3000 руб.</t>
  </si>
  <si>
    <t>Соревнования по классическому волейболу среди любительских женских команд</t>
  </si>
  <si>
    <t>Судьи 2 чел. * 50  руб.* 30 игр</t>
  </si>
  <si>
    <t>1 чел. * 45 час. * 60 руб.</t>
  </si>
  <si>
    <t>30 игр * 100 руб.</t>
  </si>
  <si>
    <t>Соревнования среди ветеранов по многоборью</t>
  </si>
  <si>
    <t>Судьи 4 чел. * 350 руб.* 1 день</t>
  </si>
  <si>
    <t>1 чел. * 2 час. * 60 руб.</t>
  </si>
  <si>
    <t>1 игра * 500 руб.</t>
  </si>
  <si>
    <t xml:space="preserve"> 1 игра* 500 руб.</t>
  </si>
  <si>
    <t>1 чел. * 200 руб. * 2 час.</t>
  </si>
  <si>
    <t>Соревнования по баскетболу среди муниципальных образовательных учреждений средних общеобразовательных школ Ленинского района</t>
  </si>
  <si>
    <t>ГСК 2 чел.* 700 руб.* 5 дней</t>
  </si>
  <si>
    <t xml:space="preserve">Судьи 4 чел. * 200 руб.*30 игр  </t>
  </si>
  <si>
    <t>60 руб. * 30 час.</t>
  </si>
  <si>
    <t>1 мероприятие *500 руб.</t>
  </si>
  <si>
    <t>Соревнования по плаванию в холодной воде «Новогодние заплывы»</t>
  </si>
  <si>
    <t>Судьи 4 чел. * 350 руб. * 1 день</t>
  </si>
  <si>
    <t>2 час.* 60 руб.</t>
  </si>
  <si>
    <t>10 ед. * 100 руб.</t>
  </si>
  <si>
    <t>Соревнования среди дошкольных общеобразовательных учреждений Ленинского района «Веселые старты»</t>
  </si>
  <si>
    <t>Фестиваль трудящейся молодежи Ленинского района</t>
  </si>
  <si>
    <t>1 чел. *3 час.* 60 руб.</t>
  </si>
  <si>
    <t>3 часа * 600 руб.</t>
  </si>
  <si>
    <t>Аренда стадиона</t>
  </si>
  <si>
    <t>Проведение утренней физической зарядки</t>
  </si>
  <si>
    <t>Тренер – инструктор по фитнесу</t>
  </si>
  <si>
    <t>врач</t>
  </si>
  <si>
    <t>1 чел. * 60 руб.* 60 час.</t>
  </si>
  <si>
    <t>100 руб. * 50 ед.</t>
  </si>
  <si>
    <t>1 чел. * 200 руб.* 60 час.</t>
  </si>
  <si>
    <t>Смета составлена главным специалистом отдела по культуре, спорту и молодежной политике В.Н.Кочкиным</t>
  </si>
  <si>
    <t>13 860 * 30,2%</t>
  </si>
  <si>
    <t xml:space="preserve"> 24346 * 18%</t>
  </si>
  <si>
    <t>9 120 * 30,2%</t>
  </si>
  <si>
    <t>17 674 * 18%</t>
  </si>
  <si>
    <t>17674 * 18%</t>
  </si>
  <si>
    <t>5 720 * 30,2%</t>
  </si>
  <si>
    <t>13 647 * 18%</t>
  </si>
  <si>
    <t>7 820 * 30,2%</t>
  </si>
  <si>
    <t>16 382 * 18%</t>
  </si>
  <si>
    <t>8 500 * 30,2%</t>
  </si>
  <si>
    <t>16 367 * 18%</t>
  </si>
  <si>
    <t>4 320 * 30,2%</t>
  </si>
  <si>
    <t>32 800 руб.* 30,2%</t>
  </si>
  <si>
    <t>45 506 * 18%</t>
  </si>
  <si>
    <t>4 320  * 30,2%</t>
  </si>
  <si>
    <t>8 825 * 18%</t>
  </si>
  <si>
    <t>ГСК 2 чел.* 700 руб.*2 дня</t>
  </si>
  <si>
    <t>Судьи 8 чел. * 350 руб.* 2 дня</t>
  </si>
  <si>
    <t>1 чел. *4 часа * 60 руб.</t>
  </si>
  <si>
    <t>8 640 * 30,2%</t>
  </si>
  <si>
    <t xml:space="preserve"> 1 мероприятие * 1 000 руб.</t>
  </si>
  <si>
    <t>ГСК  2 чел. * 700 руб.* 2 дня</t>
  </si>
  <si>
    <t>1 чел. * 200 руб. * 3 часа</t>
  </si>
  <si>
    <t>9 180* 30,2%</t>
  </si>
  <si>
    <t>60 час. * 1 150 руб.</t>
  </si>
  <si>
    <t>2 чел. * 300 руб.*60 час.</t>
  </si>
  <si>
    <t>1 чел. * 2000 * 3 мес.</t>
  </si>
  <si>
    <t>800 руб. * 3 объявления</t>
  </si>
  <si>
    <t>4 часа * 900</t>
  </si>
  <si>
    <t>27 600 * 30,2%</t>
  </si>
  <si>
    <t>18 249 *18%</t>
  </si>
  <si>
    <t>к документации об открытом аукционе в электронной форме</t>
  </si>
  <si>
    <t xml:space="preserve">    Приложение № 3</t>
  </si>
  <si>
    <t>Обоснование начальной (максимальной) цены контракта</t>
  </si>
  <si>
    <t>на  организацию и проведение  физкультурно-оздоровительной работы в Ленинском районе города Перми ( в рамках реализации долгосрочной целевой программы «Развитие физической культуры и спорта в городе Перми)</t>
  </si>
  <si>
    <t>3 час. * 5 000</t>
  </si>
  <si>
    <t>32 952 * 18%</t>
  </si>
  <si>
    <t>320 921 * 18%</t>
  </si>
  <si>
    <t>7 125 * 18%</t>
  </si>
  <si>
    <t>1 мероприятие * 383 руб.</t>
  </si>
  <si>
    <t>124 718* 18%</t>
  </si>
  <si>
    <t>ИТОГО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</si>
</sst>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3" fontId="0" fillId="0" borderId="0" xfId="0" applyNumberForma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top" wrapText="1"/>
    </xf>
    <xf numFmtId="3" fontId="1" fillId="0" borderId="5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right" vertical="top" wrapText="1"/>
    </xf>
    <xf numFmtId="3" fontId="1" fillId="0" borderId="3" xfId="0" applyNumberFormat="1" applyFont="1" applyBorder="1" applyAlignment="1">
      <alignment vertical="top" wrapText="1"/>
    </xf>
    <xf numFmtId="3" fontId="0" fillId="0" borderId="3" xfId="0" applyNumberFormat="1" applyBorder="1" applyAlignment="1">
      <alignment vertical="top" wrapText="1"/>
    </xf>
    <xf numFmtId="3" fontId="1" fillId="0" borderId="14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/>
    <xf numFmtId="3" fontId="1" fillId="0" borderId="1" xfId="0" applyNumberFormat="1" applyFont="1" applyBorder="1" applyAlignment="1">
      <alignment vertical="top" wrapText="1"/>
    </xf>
    <xf numFmtId="3" fontId="1" fillId="0" borderId="28" xfId="0" applyNumberFormat="1" applyFont="1" applyBorder="1" applyAlignment="1">
      <alignment vertical="top" wrapText="1"/>
    </xf>
    <xf numFmtId="0" fontId="5" fillId="2" borderId="30" xfId="0" applyFont="1" applyFill="1" applyBorder="1" applyAlignment="1">
      <alignment wrapText="1"/>
    </xf>
    <xf numFmtId="0" fontId="5" fillId="2" borderId="31" xfId="0" applyFont="1" applyFill="1" applyBorder="1" applyAlignment="1">
      <alignment wrapText="1"/>
    </xf>
    <xf numFmtId="3" fontId="5" fillId="2" borderId="31" xfId="0" applyNumberFormat="1" applyFont="1" applyFill="1" applyBorder="1" applyAlignment="1">
      <alignment wrapText="1"/>
    </xf>
    <xf numFmtId="3" fontId="5" fillId="2" borderId="32" xfId="0" applyNumberFormat="1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0" xfId="0" applyFont="1" applyAlignment="1">
      <alignment horizontal="right"/>
    </xf>
    <xf numFmtId="0" fontId="0" fillId="0" borderId="0" xfId="0" applyAlignment="1"/>
    <xf numFmtId="0" fontId="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3" fontId="1" fillId="0" borderId="1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9" fontId="1" fillId="0" borderId="1" xfId="0" applyNumberFormat="1" applyFont="1" applyBorder="1" applyAlignment="1">
      <alignment vertical="top" wrapText="1"/>
    </xf>
    <xf numFmtId="3" fontId="1" fillId="0" borderId="29" xfId="0" applyNumberFormat="1" applyFont="1" applyBorder="1" applyAlignment="1">
      <alignment vertical="top" wrapText="1"/>
    </xf>
    <xf numFmtId="0" fontId="1" fillId="0" borderId="26" xfId="0" applyFont="1" applyBorder="1" applyAlignment="1">
      <alignment vertical="top" wrapText="1"/>
    </xf>
    <xf numFmtId="0" fontId="1" fillId="0" borderId="2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8" xfId="0" applyFont="1" applyBorder="1" applyAlignment="1">
      <alignment vertical="top" wrapText="1"/>
    </xf>
    <xf numFmtId="9" fontId="1" fillId="0" borderId="28" xfId="0" applyNumberFormat="1" applyFont="1" applyBorder="1" applyAlignment="1">
      <alignment vertical="top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3" fontId="1" fillId="0" borderId="15" xfId="0" applyNumberFormat="1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3" fontId="1" fillId="0" borderId="9" xfId="0" applyNumberFormat="1" applyFont="1" applyBorder="1" applyAlignment="1">
      <alignment vertical="top" wrapText="1"/>
    </xf>
    <xf numFmtId="3" fontId="1" fillId="0" borderId="10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4"/>
  <sheetViews>
    <sheetView tabSelected="1" topLeftCell="A98" workbookViewId="0">
      <selection activeCell="A175" sqref="A175:I175"/>
    </sheetView>
  </sheetViews>
  <sheetFormatPr defaultRowHeight="15"/>
  <cols>
    <col min="1" max="1" width="16.28515625" customWidth="1"/>
    <col min="2" max="2" width="0.140625" hidden="1" customWidth="1"/>
    <col min="3" max="3" width="24.85546875" customWidth="1"/>
    <col min="5" max="5" width="13.42578125" customWidth="1"/>
    <col min="7" max="7" width="13.42578125" customWidth="1"/>
    <col min="8" max="8" width="11.42578125" style="2" customWidth="1"/>
    <col min="9" max="9" width="12.7109375" style="2" customWidth="1"/>
    <col min="10" max="10" width="10.85546875" customWidth="1"/>
  </cols>
  <sheetData>
    <row r="1" spans="1:9">
      <c r="E1" s="26"/>
      <c r="F1" s="27"/>
      <c r="G1" s="26" t="s">
        <v>130</v>
      </c>
      <c r="H1" s="27"/>
      <c r="I1" s="27"/>
    </row>
    <row r="2" spans="1:9">
      <c r="E2" s="26" t="s">
        <v>129</v>
      </c>
      <c r="F2" s="27"/>
      <c r="G2" s="27"/>
      <c r="H2" s="27"/>
      <c r="I2" s="27"/>
    </row>
    <row r="3" spans="1:9">
      <c r="E3" s="12"/>
      <c r="F3" s="14"/>
      <c r="G3" s="14"/>
      <c r="H3" s="14"/>
      <c r="I3" s="14"/>
    </row>
    <row r="4" spans="1:9">
      <c r="C4" s="36" t="s">
        <v>131</v>
      </c>
      <c r="D4" s="27"/>
      <c r="E4" s="27"/>
      <c r="F4" s="27"/>
      <c r="G4" s="27"/>
      <c r="H4" s="14"/>
      <c r="I4" s="14"/>
    </row>
    <row r="5" spans="1:9" ht="31.9" customHeight="1">
      <c r="A5" s="34" t="s">
        <v>132</v>
      </c>
      <c r="B5" s="35"/>
      <c r="C5" s="35"/>
      <c r="D5" s="35"/>
      <c r="E5" s="35"/>
      <c r="F5" s="35"/>
      <c r="G5" s="35"/>
      <c r="H5" s="35"/>
      <c r="I5" s="35"/>
    </row>
    <row r="6" spans="1:9" ht="16.5" thickBot="1">
      <c r="E6" s="13"/>
    </row>
    <row r="7" spans="1:9">
      <c r="A7" s="47" t="s">
        <v>0</v>
      </c>
      <c r="B7" s="48"/>
      <c r="C7" s="51" t="s">
        <v>1</v>
      </c>
      <c r="D7" s="53" t="s">
        <v>2</v>
      </c>
      <c r="E7" s="48"/>
      <c r="F7" s="53" t="s">
        <v>3</v>
      </c>
      <c r="G7" s="48"/>
      <c r="H7" s="11" t="s">
        <v>4</v>
      </c>
      <c r="I7" s="55" t="s">
        <v>6</v>
      </c>
    </row>
    <row r="8" spans="1:9" ht="15.75" thickBot="1">
      <c r="A8" s="49"/>
      <c r="B8" s="50"/>
      <c r="C8" s="52"/>
      <c r="D8" s="54"/>
      <c r="E8" s="50"/>
      <c r="F8" s="54"/>
      <c r="G8" s="50"/>
      <c r="H8" s="7" t="s">
        <v>5</v>
      </c>
      <c r="I8" s="56"/>
    </row>
    <row r="9" spans="1:9">
      <c r="A9" s="57">
        <v>1</v>
      </c>
      <c r="B9" s="58"/>
      <c r="C9" s="58" t="s">
        <v>7</v>
      </c>
      <c r="D9" s="58" t="s">
        <v>8</v>
      </c>
      <c r="E9" s="58"/>
      <c r="F9" s="58" t="s">
        <v>9</v>
      </c>
      <c r="G9" s="58"/>
      <c r="H9" s="59">
        <f>4611*8</f>
        <v>36888</v>
      </c>
      <c r="I9" s="60">
        <f>H9+H11+H12+H13+H14+H15+H16+H17+H18+H19</f>
        <v>378687.22368</v>
      </c>
    </row>
    <row r="10" spans="1:9">
      <c r="A10" s="44"/>
      <c r="B10" s="21"/>
      <c r="C10" s="21"/>
      <c r="D10" s="21"/>
      <c r="E10" s="21"/>
      <c r="F10" s="21"/>
      <c r="G10" s="21"/>
      <c r="H10" s="38"/>
      <c r="I10" s="39"/>
    </row>
    <row r="11" spans="1:9">
      <c r="A11" s="44"/>
      <c r="B11" s="21"/>
      <c r="C11" s="21"/>
      <c r="D11" s="21" t="s">
        <v>10</v>
      </c>
      <c r="E11" s="21"/>
      <c r="F11" s="21" t="s">
        <v>11</v>
      </c>
      <c r="G11" s="21"/>
      <c r="H11" s="6">
        <f>540*250</f>
        <v>135000</v>
      </c>
      <c r="I11" s="39"/>
    </row>
    <row r="12" spans="1:9" ht="39.6" customHeight="1">
      <c r="A12" s="44"/>
      <c r="B12" s="21"/>
      <c r="C12" s="21"/>
      <c r="D12" s="21" t="s">
        <v>12</v>
      </c>
      <c r="E12" s="21"/>
      <c r="F12" s="21" t="s">
        <v>13</v>
      </c>
      <c r="G12" s="21"/>
      <c r="H12" s="6">
        <f>3*200*30</f>
        <v>18000</v>
      </c>
      <c r="I12" s="39"/>
    </row>
    <row r="13" spans="1:9" ht="26.45" customHeight="1">
      <c r="A13" s="44"/>
      <c r="B13" s="21"/>
      <c r="C13" s="21"/>
      <c r="D13" s="21" t="s">
        <v>14</v>
      </c>
      <c r="E13" s="21"/>
      <c r="F13" s="21" t="s">
        <v>15</v>
      </c>
      <c r="G13" s="21"/>
      <c r="H13" s="6">
        <f>1*60*60</f>
        <v>3600</v>
      </c>
      <c r="I13" s="39"/>
    </row>
    <row r="14" spans="1:9" ht="26.45" customHeight="1">
      <c r="A14" s="44"/>
      <c r="B14" s="21"/>
      <c r="C14" s="21"/>
      <c r="D14" s="21" t="s">
        <v>16</v>
      </c>
      <c r="E14" s="21"/>
      <c r="F14" s="21" t="s">
        <v>17</v>
      </c>
      <c r="G14" s="21"/>
      <c r="H14" s="6">
        <f>(H9+H11+H12+H13)*30.2%</f>
        <v>58433.375999999997</v>
      </c>
      <c r="I14" s="39"/>
    </row>
    <row r="15" spans="1:9" ht="26.45" customHeight="1">
      <c r="A15" s="44"/>
      <c r="B15" s="21"/>
      <c r="C15" s="21"/>
      <c r="D15" s="21" t="s">
        <v>18</v>
      </c>
      <c r="E15" s="21"/>
      <c r="F15" s="21" t="s">
        <v>19</v>
      </c>
      <c r="G15" s="21"/>
      <c r="H15" s="6">
        <f>1*60*200</f>
        <v>12000</v>
      </c>
      <c r="I15" s="39"/>
    </row>
    <row r="16" spans="1:9" ht="26.45" customHeight="1">
      <c r="A16" s="44"/>
      <c r="B16" s="21"/>
      <c r="C16" s="21"/>
      <c r="D16" s="21" t="s">
        <v>20</v>
      </c>
      <c r="E16" s="21"/>
      <c r="F16" s="21" t="s">
        <v>21</v>
      </c>
      <c r="G16" s="21"/>
      <c r="H16" s="8">
        <f>300*30</f>
        <v>9000</v>
      </c>
      <c r="I16" s="39"/>
    </row>
    <row r="17" spans="1:10" ht="26.45" customHeight="1">
      <c r="A17" s="44"/>
      <c r="B17" s="21"/>
      <c r="C17" s="21"/>
      <c r="D17" s="21" t="s">
        <v>22</v>
      </c>
      <c r="E17" s="21"/>
      <c r="F17" s="21" t="s">
        <v>21</v>
      </c>
      <c r="G17" s="21"/>
      <c r="H17" s="6">
        <f>300*30</f>
        <v>9000</v>
      </c>
      <c r="I17" s="39"/>
    </row>
    <row r="18" spans="1:10" ht="39.6" customHeight="1">
      <c r="A18" s="44"/>
      <c r="B18" s="21"/>
      <c r="C18" s="21"/>
      <c r="D18" s="21" t="s">
        <v>23</v>
      </c>
      <c r="E18" s="21"/>
      <c r="F18" s="21" t="s">
        <v>24</v>
      </c>
      <c r="G18" s="21"/>
      <c r="H18" s="6">
        <f>1300*30</f>
        <v>39000</v>
      </c>
      <c r="I18" s="39"/>
    </row>
    <row r="19" spans="1:10">
      <c r="A19" s="44"/>
      <c r="B19" s="21"/>
      <c r="C19" s="21"/>
      <c r="D19" s="21" t="s">
        <v>25</v>
      </c>
      <c r="E19" s="21"/>
      <c r="F19" s="40" t="s">
        <v>135</v>
      </c>
      <c r="G19" s="40"/>
      <c r="H19" s="6">
        <f>(H9+H11+H12+H13+H14+H15+H16+H17+H18)*18%</f>
        <v>57765.847679999999</v>
      </c>
      <c r="I19" s="39"/>
      <c r="J19" s="2"/>
    </row>
    <row r="20" spans="1:10" ht="57" customHeight="1">
      <c r="A20" s="44">
        <v>2</v>
      </c>
      <c r="B20" s="21"/>
      <c r="C20" s="21" t="s">
        <v>26</v>
      </c>
      <c r="D20" s="21" t="s">
        <v>8</v>
      </c>
      <c r="E20" s="21"/>
      <c r="F20" s="21" t="s">
        <v>27</v>
      </c>
      <c r="G20" s="21"/>
      <c r="H20" s="6">
        <f>1*500*3</f>
        <v>1500</v>
      </c>
      <c r="I20" s="39">
        <f>H20+H21+H23+H24+H25+H26+H27+H28+H29+H30+H31+H32</f>
        <v>34473.599999999999</v>
      </c>
    </row>
    <row r="21" spans="1:10" ht="26.45" customHeight="1">
      <c r="A21" s="44"/>
      <c r="B21" s="21"/>
      <c r="C21" s="21"/>
      <c r="D21" s="21" t="s">
        <v>12</v>
      </c>
      <c r="E21" s="21"/>
      <c r="F21" s="21" t="s">
        <v>28</v>
      </c>
      <c r="G21" s="21"/>
      <c r="H21" s="38">
        <f>(2*700*6)+(4*300*3)</f>
        <v>12000</v>
      </c>
      <c r="I21" s="39"/>
    </row>
    <row r="22" spans="1:10" ht="26.45" customHeight="1">
      <c r="A22" s="44"/>
      <c r="B22" s="21"/>
      <c r="C22" s="21"/>
      <c r="D22" s="21"/>
      <c r="E22" s="21"/>
      <c r="F22" s="21" t="s">
        <v>29</v>
      </c>
      <c r="G22" s="21"/>
      <c r="H22" s="38"/>
      <c r="I22" s="39"/>
    </row>
    <row r="23" spans="1:10" ht="26.45" customHeight="1">
      <c r="A23" s="44"/>
      <c r="B23" s="21"/>
      <c r="C23" s="21"/>
      <c r="D23" s="21" t="s">
        <v>14</v>
      </c>
      <c r="E23" s="21"/>
      <c r="F23" s="21" t="s">
        <v>30</v>
      </c>
      <c r="G23" s="21"/>
      <c r="H23" s="6">
        <f>1*6*60</f>
        <v>360</v>
      </c>
      <c r="I23" s="39"/>
    </row>
    <row r="24" spans="1:10" ht="26.45" customHeight="1">
      <c r="A24" s="44"/>
      <c r="B24" s="21"/>
      <c r="C24" s="21"/>
      <c r="D24" s="21" t="s">
        <v>16</v>
      </c>
      <c r="E24" s="21"/>
      <c r="F24" s="21" t="s">
        <v>98</v>
      </c>
      <c r="G24" s="21"/>
      <c r="H24" s="6">
        <f>13860*30.2%</f>
        <v>4185.72</v>
      </c>
      <c r="I24" s="39"/>
    </row>
    <row r="25" spans="1:10" ht="26.45" customHeight="1">
      <c r="A25" s="44"/>
      <c r="B25" s="21"/>
      <c r="C25" s="21"/>
      <c r="D25" s="21" t="s">
        <v>20</v>
      </c>
      <c r="E25" s="21"/>
      <c r="F25" s="21" t="s">
        <v>31</v>
      </c>
      <c r="G25" s="21"/>
      <c r="H25" s="6">
        <f>300*3</f>
        <v>900</v>
      </c>
      <c r="I25" s="39"/>
    </row>
    <row r="26" spans="1:10" ht="26.45" customHeight="1">
      <c r="A26" s="44"/>
      <c r="B26" s="21"/>
      <c r="C26" s="21"/>
      <c r="D26" s="21" t="s">
        <v>22</v>
      </c>
      <c r="E26" s="21"/>
      <c r="F26" s="21" t="s">
        <v>32</v>
      </c>
      <c r="G26" s="21"/>
      <c r="H26" s="6">
        <f>300*3</f>
        <v>900</v>
      </c>
      <c r="I26" s="39"/>
    </row>
    <row r="27" spans="1:10" ht="26.45" customHeight="1">
      <c r="A27" s="44"/>
      <c r="B27" s="21"/>
      <c r="C27" s="21"/>
      <c r="D27" s="21" t="s">
        <v>33</v>
      </c>
      <c r="E27" s="21"/>
      <c r="F27" s="21" t="s">
        <v>34</v>
      </c>
      <c r="G27" s="21"/>
      <c r="H27" s="6">
        <f>500*3</f>
        <v>1500</v>
      </c>
      <c r="I27" s="39"/>
    </row>
    <row r="28" spans="1:10">
      <c r="A28" s="44"/>
      <c r="B28" s="21"/>
      <c r="C28" s="21"/>
      <c r="D28" s="21" t="s">
        <v>35</v>
      </c>
      <c r="E28" s="21"/>
      <c r="F28" s="21" t="s">
        <v>36</v>
      </c>
      <c r="G28" s="21"/>
      <c r="H28" s="6">
        <f>100*10</f>
        <v>1000</v>
      </c>
      <c r="I28" s="39"/>
    </row>
    <row r="29" spans="1:10" ht="26.45" customHeight="1">
      <c r="A29" s="44"/>
      <c r="B29" s="21"/>
      <c r="C29" s="21"/>
      <c r="D29" s="21" t="s">
        <v>37</v>
      </c>
      <c r="E29" s="21"/>
      <c r="F29" s="21" t="s">
        <v>38</v>
      </c>
      <c r="G29" s="21"/>
      <c r="H29" s="6">
        <f>800*1</f>
        <v>800</v>
      </c>
      <c r="I29" s="39"/>
    </row>
    <row r="30" spans="1:10" ht="26.45" customHeight="1">
      <c r="A30" s="44"/>
      <c r="B30" s="21"/>
      <c r="C30" s="21"/>
      <c r="D30" s="21" t="s">
        <v>18</v>
      </c>
      <c r="E30" s="21"/>
      <c r="F30" s="21" t="s">
        <v>39</v>
      </c>
      <c r="G30" s="21"/>
      <c r="H30" s="6">
        <f>1*200*6</f>
        <v>1200</v>
      </c>
      <c r="I30" s="39"/>
    </row>
    <row r="31" spans="1:10">
      <c r="A31" s="44"/>
      <c r="B31" s="21"/>
      <c r="C31" s="21"/>
      <c r="D31" s="21" t="s">
        <v>25</v>
      </c>
      <c r="E31" s="21"/>
      <c r="F31" s="21" t="s">
        <v>99</v>
      </c>
      <c r="G31" s="21"/>
      <c r="H31" s="6">
        <f>24346*18%</f>
        <v>4382.28</v>
      </c>
      <c r="I31" s="39"/>
    </row>
    <row r="32" spans="1:10" ht="26.45" customHeight="1">
      <c r="A32" s="44"/>
      <c r="B32" s="21"/>
      <c r="C32" s="21"/>
      <c r="D32" s="21" t="s">
        <v>40</v>
      </c>
      <c r="E32" s="21"/>
      <c r="F32" s="21" t="s">
        <v>41</v>
      </c>
      <c r="G32" s="21"/>
      <c r="H32" s="6">
        <f>SUM(H20:H31)*20%</f>
        <v>5745.6</v>
      </c>
      <c r="I32" s="39"/>
    </row>
    <row r="33" spans="1:9" ht="26.45" customHeight="1">
      <c r="A33" s="44">
        <v>3</v>
      </c>
      <c r="B33" s="21"/>
      <c r="C33" s="21" t="s">
        <v>42</v>
      </c>
      <c r="D33" s="21" t="s">
        <v>12</v>
      </c>
      <c r="E33" s="21"/>
      <c r="F33" s="21" t="s">
        <v>43</v>
      </c>
      <c r="G33" s="21"/>
      <c r="H33" s="38">
        <f>(2*700*2)+(12*350*1)</f>
        <v>7000</v>
      </c>
      <c r="I33" s="39">
        <f>H33+H35+H36+H37+H39+H40+H41+H42+H43+H44+H45+H46+H47</f>
        <v>25026.671999999999</v>
      </c>
    </row>
    <row r="34" spans="1:9" ht="26.45" customHeight="1">
      <c r="A34" s="44"/>
      <c r="B34" s="21"/>
      <c r="C34" s="21"/>
      <c r="D34" s="21"/>
      <c r="E34" s="21"/>
      <c r="F34" s="21" t="s">
        <v>44</v>
      </c>
      <c r="G34" s="21"/>
      <c r="H34" s="38"/>
      <c r="I34" s="39"/>
    </row>
    <row r="35" spans="1:9">
      <c r="A35" s="44"/>
      <c r="B35" s="21"/>
      <c r="C35" s="21"/>
      <c r="D35" s="21" t="s">
        <v>45</v>
      </c>
      <c r="E35" s="21"/>
      <c r="F35" s="21" t="s">
        <v>46</v>
      </c>
      <c r="G35" s="21"/>
      <c r="H35" s="6">
        <f>1*2000</f>
        <v>2000</v>
      </c>
      <c r="I35" s="39"/>
    </row>
    <row r="36" spans="1:9" ht="26.45" customHeight="1">
      <c r="A36" s="44"/>
      <c r="B36" s="21"/>
      <c r="C36" s="21"/>
      <c r="D36" s="21" t="s">
        <v>14</v>
      </c>
      <c r="E36" s="21"/>
      <c r="F36" s="21" t="s">
        <v>47</v>
      </c>
      <c r="G36" s="21"/>
      <c r="H36" s="6">
        <f>1*2*60</f>
        <v>120</v>
      </c>
      <c r="I36" s="39"/>
    </row>
    <row r="37" spans="1:9">
      <c r="A37" s="44"/>
      <c r="B37" s="21"/>
      <c r="C37" s="21"/>
      <c r="D37" s="21" t="s">
        <v>16</v>
      </c>
      <c r="E37" s="21"/>
      <c r="F37" s="21" t="s">
        <v>100</v>
      </c>
      <c r="G37" s="21"/>
      <c r="H37" s="38">
        <f>9120*30.2%</f>
        <v>2754.24</v>
      </c>
      <c r="I37" s="39"/>
    </row>
    <row r="38" spans="1:9">
      <c r="A38" s="44"/>
      <c r="B38" s="21"/>
      <c r="C38" s="21"/>
      <c r="D38" s="21"/>
      <c r="E38" s="21"/>
      <c r="F38" s="21"/>
      <c r="G38" s="21"/>
      <c r="H38" s="38"/>
      <c r="I38" s="39"/>
    </row>
    <row r="39" spans="1:9" ht="26.45" customHeight="1">
      <c r="A39" s="44"/>
      <c r="B39" s="21"/>
      <c r="C39" s="21"/>
      <c r="D39" s="21" t="s">
        <v>20</v>
      </c>
      <c r="E39" s="21"/>
      <c r="F39" s="21" t="s">
        <v>48</v>
      </c>
      <c r="G39" s="21"/>
      <c r="H39" s="6">
        <f>1*500</f>
        <v>500</v>
      </c>
      <c r="I39" s="39"/>
    </row>
    <row r="40" spans="1:9" ht="26.45" customHeight="1">
      <c r="A40" s="44"/>
      <c r="B40" s="21"/>
      <c r="C40" s="21"/>
      <c r="D40" s="21" t="s">
        <v>22</v>
      </c>
      <c r="E40" s="21"/>
      <c r="F40" s="21" t="s">
        <v>49</v>
      </c>
      <c r="G40" s="21"/>
      <c r="H40" s="6">
        <f>1*800</f>
        <v>800</v>
      </c>
      <c r="I40" s="39"/>
    </row>
    <row r="41" spans="1:9" ht="26.45" customHeight="1">
      <c r="A41" s="44"/>
      <c r="B41" s="21"/>
      <c r="C41" s="21"/>
      <c r="D41" s="21" t="s">
        <v>33</v>
      </c>
      <c r="E41" s="21"/>
      <c r="F41" s="21" t="s">
        <v>48</v>
      </c>
      <c r="G41" s="21"/>
      <c r="H41" s="6">
        <f>1*500</f>
        <v>500</v>
      </c>
      <c r="I41" s="39"/>
    </row>
    <row r="42" spans="1:9" ht="39.6" customHeight="1">
      <c r="A42" s="44"/>
      <c r="B42" s="21"/>
      <c r="C42" s="21"/>
      <c r="D42" s="21" t="s">
        <v>50</v>
      </c>
      <c r="E42" s="21"/>
      <c r="F42" s="21" t="s">
        <v>51</v>
      </c>
      <c r="G42" s="21"/>
      <c r="H42" s="6">
        <f>2*900</f>
        <v>1800</v>
      </c>
      <c r="I42" s="39"/>
    </row>
    <row r="43" spans="1:9">
      <c r="A43" s="44"/>
      <c r="B43" s="21"/>
      <c r="C43" s="21"/>
      <c r="D43" s="21" t="s">
        <v>35</v>
      </c>
      <c r="E43" s="21"/>
      <c r="F43" s="21" t="s">
        <v>36</v>
      </c>
      <c r="G43" s="21"/>
      <c r="H43" s="6">
        <f>100*10</f>
        <v>1000</v>
      </c>
      <c r="I43" s="39"/>
    </row>
    <row r="44" spans="1:9" ht="26.45" customHeight="1">
      <c r="A44" s="44"/>
      <c r="B44" s="21"/>
      <c r="C44" s="21"/>
      <c r="D44" s="21" t="s">
        <v>37</v>
      </c>
      <c r="E44" s="21"/>
      <c r="F44" s="21" t="s">
        <v>38</v>
      </c>
      <c r="G44" s="21"/>
      <c r="H44" s="6">
        <f>1*800</f>
        <v>800</v>
      </c>
      <c r="I44" s="39"/>
    </row>
    <row r="45" spans="1:9" ht="26.45" customHeight="1">
      <c r="A45" s="44"/>
      <c r="B45" s="21"/>
      <c r="C45" s="21"/>
      <c r="D45" s="21" t="s">
        <v>18</v>
      </c>
      <c r="E45" s="21"/>
      <c r="F45" s="21" t="s">
        <v>52</v>
      </c>
      <c r="G45" s="21"/>
      <c r="H45" s="6">
        <f>1*200*2</f>
        <v>400</v>
      </c>
      <c r="I45" s="39"/>
    </row>
    <row r="46" spans="1:9">
      <c r="A46" s="44"/>
      <c r="B46" s="21"/>
      <c r="C46" s="21"/>
      <c r="D46" s="21" t="s">
        <v>25</v>
      </c>
      <c r="E46" s="21"/>
      <c r="F46" s="40" t="s">
        <v>101</v>
      </c>
      <c r="G46" s="40"/>
      <c r="H46" s="6">
        <f>17674*18%</f>
        <v>3181.3199999999997</v>
      </c>
      <c r="I46" s="39"/>
    </row>
    <row r="47" spans="1:9" ht="26.45" customHeight="1">
      <c r="A47" s="44"/>
      <c r="B47" s="21"/>
      <c r="C47" s="21"/>
      <c r="D47" s="21" t="s">
        <v>40</v>
      </c>
      <c r="E47" s="21"/>
      <c r="F47" s="21" t="s">
        <v>53</v>
      </c>
      <c r="G47" s="21"/>
      <c r="H47" s="6">
        <f>SUM(H33:H46)*20%</f>
        <v>4171.1120000000001</v>
      </c>
      <c r="I47" s="39"/>
    </row>
    <row r="48" spans="1:9" ht="26.45" customHeight="1">
      <c r="A48" s="44">
        <v>4</v>
      </c>
      <c r="B48" s="21"/>
      <c r="C48" s="21" t="s">
        <v>54</v>
      </c>
      <c r="D48" s="21" t="s">
        <v>12</v>
      </c>
      <c r="E48" s="21"/>
      <c r="F48" s="21" t="s">
        <v>43</v>
      </c>
      <c r="G48" s="21"/>
      <c r="H48" s="38">
        <f>(2*700*2)+(12*350)</f>
        <v>7000</v>
      </c>
      <c r="I48" s="39">
        <f>H48+H50+H51+H52+H54+H55+H56+H57+H58+H59+H60+H61+H62</f>
        <v>25026.671999999999</v>
      </c>
    </row>
    <row r="49" spans="1:9" ht="26.45" customHeight="1">
      <c r="A49" s="44"/>
      <c r="B49" s="21"/>
      <c r="C49" s="21"/>
      <c r="D49" s="21"/>
      <c r="E49" s="21"/>
      <c r="F49" s="21" t="s">
        <v>55</v>
      </c>
      <c r="G49" s="21"/>
      <c r="H49" s="38"/>
      <c r="I49" s="39"/>
    </row>
    <row r="50" spans="1:9">
      <c r="A50" s="44"/>
      <c r="B50" s="21"/>
      <c r="C50" s="21"/>
      <c r="D50" s="21" t="s">
        <v>45</v>
      </c>
      <c r="E50" s="21"/>
      <c r="F50" s="21" t="s">
        <v>46</v>
      </c>
      <c r="G50" s="21"/>
      <c r="H50" s="6">
        <f>1*2000</f>
        <v>2000</v>
      </c>
      <c r="I50" s="39"/>
    </row>
    <row r="51" spans="1:9" ht="26.45" customHeight="1">
      <c r="A51" s="44"/>
      <c r="B51" s="21"/>
      <c r="C51" s="21"/>
      <c r="D51" s="21" t="s">
        <v>14</v>
      </c>
      <c r="E51" s="21"/>
      <c r="F51" s="21" t="s">
        <v>47</v>
      </c>
      <c r="G51" s="21"/>
      <c r="H51" s="6">
        <f>1*2*60</f>
        <v>120</v>
      </c>
      <c r="I51" s="39"/>
    </row>
    <row r="52" spans="1:9">
      <c r="A52" s="44"/>
      <c r="B52" s="21"/>
      <c r="C52" s="21"/>
      <c r="D52" s="21" t="s">
        <v>16</v>
      </c>
      <c r="E52" s="21"/>
      <c r="F52" s="21" t="s">
        <v>100</v>
      </c>
      <c r="G52" s="21"/>
      <c r="H52" s="38">
        <f>9120*30.2%</f>
        <v>2754.24</v>
      </c>
      <c r="I52" s="39"/>
    </row>
    <row r="53" spans="1:9">
      <c r="A53" s="44"/>
      <c r="B53" s="21"/>
      <c r="C53" s="21"/>
      <c r="D53" s="21"/>
      <c r="E53" s="21"/>
      <c r="F53" s="21"/>
      <c r="G53" s="21"/>
      <c r="H53" s="38"/>
      <c r="I53" s="39"/>
    </row>
    <row r="54" spans="1:9" ht="26.45" customHeight="1">
      <c r="A54" s="44"/>
      <c r="B54" s="21"/>
      <c r="C54" s="21"/>
      <c r="D54" s="21" t="s">
        <v>20</v>
      </c>
      <c r="E54" s="21"/>
      <c r="F54" s="21" t="s">
        <v>48</v>
      </c>
      <c r="G54" s="21"/>
      <c r="H54" s="6">
        <f>1*500</f>
        <v>500</v>
      </c>
      <c r="I54" s="39"/>
    </row>
    <row r="55" spans="1:9" ht="26.45" customHeight="1">
      <c r="A55" s="44"/>
      <c r="B55" s="21"/>
      <c r="C55" s="21"/>
      <c r="D55" s="21" t="s">
        <v>22</v>
      </c>
      <c r="E55" s="21"/>
      <c r="F55" s="21" t="s">
        <v>49</v>
      </c>
      <c r="G55" s="21"/>
      <c r="H55" s="6">
        <f>1*800</f>
        <v>800</v>
      </c>
      <c r="I55" s="39"/>
    </row>
    <row r="56" spans="1:9" ht="26.45" customHeight="1">
      <c r="A56" s="44"/>
      <c r="B56" s="21"/>
      <c r="C56" s="21"/>
      <c r="D56" s="21" t="s">
        <v>33</v>
      </c>
      <c r="E56" s="21"/>
      <c r="F56" s="21" t="s">
        <v>48</v>
      </c>
      <c r="G56" s="21"/>
      <c r="H56" s="6">
        <f>1*500</f>
        <v>500</v>
      </c>
      <c r="I56" s="39"/>
    </row>
    <row r="57" spans="1:9" ht="39.6" customHeight="1">
      <c r="A57" s="44"/>
      <c r="B57" s="21"/>
      <c r="C57" s="21"/>
      <c r="D57" s="21" t="s">
        <v>50</v>
      </c>
      <c r="E57" s="21"/>
      <c r="F57" s="21" t="s">
        <v>51</v>
      </c>
      <c r="G57" s="21"/>
      <c r="H57" s="6">
        <f>2*900</f>
        <v>1800</v>
      </c>
      <c r="I57" s="39"/>
    </row>
    <row r="58" spans="1:9">
      <c r="A58" s="44"/>
      <c r="B58" s="21"/>
      <c r="C58" s="21"/>
      <c r="D58" s="21" t="s">
        <v>35</v>
      </c>
      <c r="E58" s="21"/>
      <c r="F58" s="21" t="s">
        <v>36</v>
      </c>
      <c r="G58" s="21"/>
      <c r="H58" s="6">
        <f>100*10</f>
        <v>1000</v>
      </c>
      <c r="I58" s="39"/>
    </row>
    <row r="59" spans="1:9" ht="26.45" customHeight="1">
      <c r="A59" s="44"/>
      <c r="B59" s="21"/>
      <c r="C59" s="21"/>
      <c r="D59" s="21" t="s">
        <v>37</v>
      </c>
      <c r="E59" s="21"/>
      <c r="F59" s="21" t="s">
        <v>38</v>
      </c>
      <c r="G59" s="21"/>
      <c r="H59" s="6">
        <f>1*800</f>
        <v>800</v>
      </c>
      <c r="I59" s="39"/>
    </row>
    <row r="60" spans="1:9" ht="26.45" customHeight="1">
      <c r="A60" s="44"/>
      <c r="B60" s="21"/>
      <c r="C60" s="21"/>
      <c r="D60" s="21" t="s">
        <v>18</v>
      </c>
      <c r="E60" s="21"/>
      <c r="F60" s="21" t="s">
        <v>52</v>
      </c>
      <c r="G60" s="21"/>
      <c r="H60" s="6">
        <f>1*200*2</f>
        <v>400</v>
      </c>
      <c r="I60" s="39"/>
    </row>
    <row r="61" spans="1:9">
      <c r="A61" s="44"/>
      <c r="B61" s="21"/>
      <c r="C61" s="21"/>
      <c r="D61" s="21" t="s">
        <v>25</v>
      </c>
      <c r="E61" s="21"/>
      <c r="F61" s="40" t="s">
        <v>102</v>
      </c>
      <c r="G61" s="40"/>
      <c r="H61" s="6">
        <f>17674*18%</f>
        <v>3181.3199999999997</v>
      </c>
      <c r="I61" s="39"/>
    </row>
    <row r="62" spans="1:9" ht="26.45" customHeight="1">
      <c r="A62" s="44"/>
      <c r="B62" s="21"/>
      <c r="C62" s="21"/>
      <c r="D62" s="21" t="s">
        <v>40</v>
      </c>
      <c r="E62" s="21"/>
      <c r="F62" s="21" t="s">
        <v>53</v>
      </c>
      <c r="G62" s="21"/>
      <c r="H62" s="6">
        <f>SUM(H48:H61)*20%</f>
        <v>4171.1120000000001</v>
      </c>
      <c r="I62" s="39"/>
    </row>
    <row r="63" spans="1:9" ht="26.45" customHeight="1">
      <c r="A63" s="44">
        <v>5</v>
      </c>
      <c r="B63" s="21"/>
      <c r="C63" s="21" t="s">
        <v>56</v>
      </c>
      <c r="D63" s="21" t="s">
        <v>12</v>
      </c>
      <c r="E63" s="21"/>
      <c r="F63" s="21" t="s">
        <v>57</v>
      </c>
      <c r="G63" s="21"/>
      <c r="H63" s="38">
        <f>(2*700*2)+(8*350*1)</f>
        <v>5600</v>
      </c>
      <c r="I63" s="39">
        <f>H63+H65+H66+H68+H69+H70+H71+H72+H73+H74+H75</f>
        <v>19324.68</v>
      </c>
    </row>
    <row r="64" spans="1:9" ht="26.45" customHeight="1">
      <c r="A64" s="44"/>
      <c r="B64" s="21"/>
      <c r="C64" s="21"/>
      <c r="D64" s="21"/>
      <c r="E64" s="21"/>
      <c r="F64" s="21" t="s">
        <v>58</v>
      </c>
      <c r="G64" s="21"/>
      <c r="H64" s="38"/>
      <c r="I64" s="39"/>
    </row>
    <row r="65" spans="1:9" ht="26.45" customHeight="1">
      <c r="A65" s="44"/>
      <c r="B65" s="21"/>
      <c r="C65" s="21"/>
      <c r="D65" s="21" t="s">
        <v>14</v>
      </c>
      <c r="E65" s="21"/>
      <c r="F65" s="21" t="s">
        <v>59</v>
      </c>
      <c r="G65" s="21"/>
      <c r="H65" s="6">
        <f>1*2*60</f>
        <v>120</v>
      </c>
      <c r="I65" s="39"/>
    </row>
    <row r="66" spans="1:9">
      <c r="A66" s="44"/>
      <c r="B66" s="21"/>
      <c r="C66" s="21"/>
      <c r="D66" s="21" t="s">
        <v>16</v>
      </c>
      <c r="E66" s="21"/>
      <c r="F66" s="21" t="s">
        <v>103</v>
      </c>
      <c r="G66" s="21"/>
      <c r="H66" s="38">
        <f>5720*30.2%</f>
        <v>1727.44</v>
      </c>
      <c r="I66" s="39"/>
    </row>
    <row r="67" spans="1:9">
      <c r="A67" s="44"/>
      <c r="B67" s="21"/>
      <c r="C67" s="21"/>
      <c r="D67" s="21"/>
      <c r="E67" s="21"/>
      <c r="F67" s="21"/>
      <c r="G67" s="21"/>
      <c r="H67" s="38"/>
      <c r="I67" s="39"/>
    </row>
    <row r="68" spans="1:9" ht="26.45" customHeight="1">
      <c r="A68" s="44"/>
      <c r="B68" s="21"/>
      <c r="C68" s="21"/>
      <c r="D68" s="21" t="s">
        <v>20</v>
      </c>
      <c r="E68" s="21"/>
      <c r="F68" s="21" t="s">
        <v>48</v>
      </c>
      <c r="G68" s="21"/>
      <c r="H68" s="6">
        <f>1*500</f>
        <v>500</v>
      </c>
      <c r="I68" s="39"/>
    </row>
    <row r="69" spans="1:9" ht="26.45" customHeight="1">
      <c r="A69" s="44"/>
      <c r="B69" s="21"/>
      <c r="C69" s="21"/>
      <c r="D69" s="21" t="s">
        <v>22</v>
      </c>
      <c r="E69" s="21"/>
      <c r="F69" s="21" t="s">
        <v>60</v>
      </c>
      <c r="G69" s="21"/>
      <c r="H69" s="6">
        <f>1*500</f>
        <v>500</v>
      </c>
      <c r="I69" s="39"/>
    </row>
    <row r="70" spans="1:9" ht="26.45" customHeight="1">
      <c r="A70" s="44"/>
      <c r="B70" s="21"/>
      <c r="C70" s="21"/>
      <c r="D70" s="21" t="s">
        <v>33</v>
      </c>
      <c r="E70" s="21"/>
      <c r="F70" s="21" t="s">
        <v>61</v>
      </c>
      <c r="G70" s="21"/>
      <c r="H70" s="6">
        <f>1*3000</f>
        <v>3000</v>
      </c>
      <c r="I70" s="39"/>
    </row>
    <row r="71" spans="1:9">
      <c r="A71" s="44"/>
      <c r="B71" s="21"/>
      <c r="C71" s="21"/>
      <c r="D71" s="21" t="s">
        <v>35</v>
      </c>
      <c r="E71" s="21"/>
      <c r="F71" s="21" t="s">
        <v>36</v>
      </c>
      <c r="G71" s="21"/>
      <c r="H71" s="6">
        <f>100*10</f>
        <v>1000</v>
      </c>
      <c r="I71" s="39"/>
    </row>
    <row r="72" spans="1:9" ht="26.45" customHeight="1">
      <c r="A72" s="44"/>
      <c r="B72" s="21"/>
      <c r="C72" s="21"/>
      <c r="D72" s="21" t="s">
        <v>37</v>
      </c>
      <c r="E72" s="21"/>
      <c r="F72" s="21" t="s">
        <v>38</v>
      </c>
      <c r="G72" s="21"/>
      <c r="H72" s="6">
        <f>800*1</f>
        <v>800</v>
      </c>
      <c r="I72" s="39"/>
    </row>
    <row r="73" spans="1:9" ht="26.45" customHeight="1">
      <c r="A73" s="44"/>
      <c r="B73" s="21"/>
      <c r="C73" s="21"/>
      <c r="D73" s="21" t="s">
        <v>18</v>
      </c>
      <c r="E73" s="21"/>
      <c r="F73" s="21" t="s">
        <v>52</v>
      </c>
      <c r="G73" s="21"/>
      <c r="H73" s="6">
        <f>1*200*2</f>
        <v>400</v>
      </c>
      <c r="I73" s="39"/>
    </row>
    <row r="74" spans="1:9">
      <c r="A74" s="44"/>
      <c r="B74" s="21"/>
      <c r="C74" s="21"/>
      <c r="D74" s="21" t="s">
        <v>25</v>
      </c>
      <c r="E74" s="21"/>
      <c r="F74" s="40" t="s">
        <v>104</v>
      </c>
      <c r="G74" s="40"/>
      <c r="H74" s="6">
        <f>13647*18%</f>
        <v>2456.46</v>
      </c>
      <c r="I74" s="39"/>
    </row>
    <row r="75" spans="1:9" ht="26.45" customHeight="1">
      <c r="A75" s="44"/>
      <c r="B75" s="21"/>
      <c r="C75" s="21"/>
      <c r="D75" s="21" t="s">
        <v>40</v>
      </c>
      <c r="E75" s="21"/>
      <c r="F75" s="21" t="s">
        <v>53</v>
      </c>
      <c r="G75" s="21"/>
      <c r="H75" s="6">
        <f>SUM(H63:H74)*20%</f>
        <v>3220.7800000000007</v>
      </c>
      <c r="I75" s="39"/>
    </row>
    <row r="76" spans="1:9" ht="26.45" customHeight="1">
      <c r="A76" s="44">
        <v>6</v>
      </c>
      <c r="B76" s="21"/>
      <c r="C76" s="21" t="s">
        <v>62</v>
      </c>
      <c r="D76" s="21" t="s">
        <v>63</v>
      </c>
      <c r="E76" s="21"/>
      <c r="F76" s="21" t="s">
        <v>64</v>
      </c>
      <c r="G76" s="21"/>
      <c r="H76" s="6">
        <f>1*350*2</f>
        <v>700</v>
      </c>
      <c r="I76" s="39">
        <f>H76+H77+H79+H80+H82+H83+H84+H85+H86+H87+H88+H89</f>
        <v>23196.479999999996</v>
      </c>
    </row>
    <row r="77" spans="1:9" ht="26.45" customHeight="1">
      <c r="A77" s="44"/>
      <c r="B77" s="21"/>
      <c r="C77" s="21"/>
      <c r="D77" s="21" t="s">
        <v>12</v>
      </c>
      <c r="E77" s="21"/>
      <c r="F77" s="21" t="s">
        <v>57</v>
      </c>
      <c r="G77" s="21"/>
      <c r="H77" s="38">
        <f>(2*700*2)+(12*350*1)</f>
        <v>7000</v>
      </c>
      <c r="I77" s="39"/>
    </row>
    <row r="78" spans="1:9" ht="26.45" customHeight="1">
      <c r="A78" s="44"/>
      <c r="B78" s="21"/>
      <c r="C78" s="21"/>
      <c r="D78" s="21"/>
      <c r="E78" s="21"/>
      <c r="F78" s="21" t="s">
        <v>65</v>
      </c>
      <c r="G78" s="21"/>
      <c r="H78" s="38"/>
      <c r="I78" s="39"/>
    </row>
    <row r="79" spans="1:9" ht="26.45" customHeight="1">
      <c r="A79" s="44"/>
      <c r="B79" s="21"/>
      <c r="C79" s="21"/>
      <c r="D79" s="21" t="s">
        <v>14</v>
      </c>
      <c r="E79" s="21"/>
      <c r="F79" s="21" t="s">
        <v>59</v>
      </c>
      <c r="G79" s="21"/>
      <c r="H79" s="6">
        <f>1*2*60</f>
        <v>120</v>
      </c>
      <c r="I79" s="39"/>
    </row>
    <row r="80" spans="1:9">
      <c r="A80" s="44"/>
      <c r="B80" s="21"/>
      <c r="C80" s="21"/>
      <c r="D80" s="21" t="s">
        <v>16</v>
      </c>
      <c r="E80" s="21"/>
      <c r="F80" s="21" t="s">
        <v>105</v>
      </c>
      <c r="G80" s="21"/>
      <c r="H80" s="38">
        <f>7820*30.2%</f>
        <v>2361.64</v>
      </c>
      <c r="I80" s="39"/>
    </row>
    <row r="81" spans="1:9">
      <c r="A81" s="44"/>
      <c r="B81" s="21"/>
      <c r="C81" s="21"/>
      <c r="D81" s="21"/>
      <c r="E81" s="21"/>
      <c r="F81" s="21"/>
      <c r="G81" s="21"/>
      <c r="H81" s="38"/>
      <c r="I81" s="39"/>
    </row>
    <row r="82" spans="1:9" ht="26.45" customHeight="1">
      <c r="A82" s="44"/>
      <c r="B82" s="21"/>
      <c r="C82" s="21"/>
      <c r="D82" s="21" t="s">
        <v>20</v>
      </c>
      <c r="E82" s="21"/>
      <c r="F82" s="21" t="s">
        <v>48</v>
      </c>
      <c r="G82" s="21"/>
      <c r="H82" s="6">
        <f>1*500</f>
        <v>500</v>
      </c>
      <c r="I82" s="39"/>
    </row>
    <row r="83" spans="1:9" ht="26.45" customHeight="1">
      <c r="A83" s="44"/>
      <c r="B83" s="21"/>
      <c r="C83" s="21"/>
      <c r="D83" s="21" t="s">
        <v>22</v>
      </c>
      <c r="E83" s="21"/>
      <c r="F83" s="21" t="s">
        <v>48</v>
      </c>
      <c r="G83" s="21"/>
      <c r="H83" s="6">
        <f>1*500</f>
        <v>500</v>
      </c>
      <c r="I83" s="39"/>
    </row>
    <row r="84" spans="1:9" ht="26.45" customHeight="1">
      <c r="A84" s="44"/>
      <c r="B84" s="21"/>
      <c r="C84" s="21"/>
      <c r="D84" s="21" t="s">
        <v>33</v>
      </c>
      <c r="E84" s="21"/>
      <c r="F84" s="21" t="s">
        <v>66</v>
      </c>
      <c r="G84" s="21"/>
      <c r="H84" s="6">
        <f>1*3000</f>
        <v>3000</v>
      </c>
      <c r="I84" s="39"/>
    </row>
    <row r="85" spans="1:9">
      <c r="A85" s="44"/>
      <c r="B85" s="21"/>
      <c r="C85" s="21"/>
      <c r="D85" s="21" t="s">
        <v>35</v>
      </c>
      <c r="E85" s="21"/>
      <c r="F85" s="21" t="s">
        <v>36</v>
      </c>
      <c r="G85" s="21"/>
      <c r="H85" s="6">
        <f>100*10</f>
        <v>1000</v>
      </c>
      <c r="I85" s="39"/>
    </row>
    <row r="86" spans="1:9" ht="26.45" customHeight="1">
      <c r="A86" s="44"/>
      <c r="B86" s="21"/>
      <c r="C86" s="21"/>
      <c r="D86" s="21" t="s">
        <v>37</v>
      </c>
      <c r="E86" s="21"/>
      <c r="F86" s="21" t="s">
        <v>38</v>
      </c>
      <c r="G86" s="21"/>
      <c r="H86" s="6">
        <f>1*800</f>
        <v>800</v>
      </c>
      <c r="I86" s="39"/>
    </row>
    <row r="87" spans="1:9" ht="26.45" customHeight="1">
      <c r="A87" s="44"/>
      <c r="B87" s="21"/>
      <c r="C87" s="21"/>
      <c r="D87" s="21" t="s">
        <v>18</v>
      </c>
      <c r="E87" s="21"/>
      <c r="F87" s="21" t="s">
        <v>52</v>
      </c>
      <c r="G87" s="21"/>
      <c r="H87" s="6">
        <f>1*200*2</f>
        <v>400</v>
      </c>
      <c r="I87" s="39"/>
    </row>
    <row r="88" spans="1:9">
      <c r="A88" s="44"/>
      <c r="B88" s="21"/>
      <c r="C88" s="21"/>
      <c r="D88" s="21" t="s">
        <v>25</v>
      </c>
      <c r="E88" s="21"/>
      <c r="F88" s="40" t="s">
        <v>106</v>
      </c>
      <c r="G88" s="40"/>
      <c r="H88" s="6">
        <f>16382*18%</f>
        <v>2948.7599999999998</v>
      </c>
      <c r="I88" s="39"/>
    </row>
    <row r="89" spans="1:9" ht="26.45" customHeight="1">
      <c r="A89" s="44"/>
      <c r="B89" s="21"/>
      <c r="C89" s="21"/>
      <c r="D89" s="21" t="s">
        <v>40</v>
      </c>
      <c r="E89" s="21"/>
      <c r="F89" s="21" t="s">
        <v>53</v>
      </c>
      <c r="G89" s="21"/>
      <c r="H89" s="6">
        <f>SUM(H76:H88)*20%</f>
        <v>3866.08</v>
      </c>
      <c r="I89" s="39"/>
    </row>
    <row r="90" spans="1:9" ht="26.45" customHeight="1">
      <c r="A90" s="22">
        <v>7</v>
      </c>
      <c r="B90" s="28" t="s">
        <v>67</v>
      </c>
      <c r="C90" s="29"/>
      <c r="D90" s="21" t="s">
        <v>12</v>
      </c>
      <c r="E90" s="37"/>
      <c r="F90" s="21" t="s">
        <v>57</v>
      </c>
      <c r="G90" s="21"/>
      <c r="H90" s="38">
        <f>(2*700*2)+(2*50*30)</f>
        <v>5800</v>
      </c>
      <c r="I90" s="39">
        <f>H90+H92+H93+H94+H95+H96+H97+H98+H99</f>
        <v>23175.672000000002</v>
      </c>
    </row>
    <row r="91" spans="1:9" ht="26.45" customHeight="1">
      <c r="A91" s="23"/>
      <c r="B91" s="30"/>
      <c r="C91" s="31"/>
      <c r="D91" s="21"/>
      <c r="E91" s="37"/>
      <c r="F91" s="21" t="s">
        <v>68</v>
      </c>
      <c r="G91" s="37"/>
      <c r="H91" s="38"/>
      <c r="I91" s="39"/>
    </row>
    <row r="92" spans="1:9" ht="26.45" customHeight="1">
      <c r="A92" s="24"/>
      <c r="B92" s="30"/>
      <c r="C92" s="31"/>
      <c r="D92" s="21" t="s">
        <v>14</v>
      </c>
      <c r="E92" s="37"/>
      <c r="F92" s="21" t="s">
        <v>69</v>
      </c>
      <c r="G92" s="21"/>
      <c r="H92" s="6">
        <f>1*45*60</f>
        <v>2700</v>
      </c>
      <c r="I92" s="39"/>
    </row>
    <row r="93" spans="1:9" ht="37.9" customHeight="1">
      <c r="A93" s="24"/>
      <c r="B93" s="30"/>
      <c r="C93" s="31"/>
      <c r="D93" s="21" t="s">
        <v>16</v>
      </c>
      <c r="E93" s="37"/>
      <c r="F93" s="21" t="s">
        <v>107</v>
      </c>
      <c r="G93" s="37"/>
      <c r="H93" s="6">
        <f>8500*30.2%</f>
        <v>2567</v>
      </c>
      <c r="I93" s="39"/>
    </row>
    <row r="94" spans="1:9">
      <c r="A94" s="24"/>
      <c r="B94" s="30"/>
      <c r="C94" s="31"/>
      <c r="D94" s="21" t="s">
        <v>20</v>
      </c>
      <c r="E94" s="37"/>
      <c r="F94" s="21" t="s">
        <v>70</v>
      </c>
      <c r="G94" s="21"/>
      <c r="H94" s="6">
        <f>30*100</f>
        <v>3000</v>
      </c>
      <c r="I94" s="39"/>
    </row>
    <row r="95" spans="1:9" ht="35.450000000000003" customHeight="1">
      <c r="A95" s="24"/>
      <c r="B95" s="30"/>
      <c r="C95" s="31"/>
      <c r="D95" s="21" t="s">
        <v>22</v>
      </c>
      <c r="E95" s="37"/>
      <c r="F95" s="21" t="s">
        <v>48</v>
      </c>
      <c r="G95" s="21"/>
      <c r="H95" s="6">
        <f>1*500</f>
        <v>500</v>
      </c>
      <c r="I95" s="39"/>
    </row>
    <row r="96" spans="1:9">
      <c r="A96" s="24"/>
      <c r="B96" s="30"/>
      <c r="C96" s="31"/>
      <c r="D96" s="21" t="s">
        <v>35</v>
      </c>
      <c r="E96" s="37"/>
      <c r="F96" s="21" t="s">
        <v>36</v>
      </c>
      <c r="G96" s="21"/>
      <c r="H96" s="6">
        <f>100*10</f>
        <v>1000</v>
      </c>
      <c r="I96" s="39"/>
    </row>
    <row r="97" spans="1:9" ht="25.9" customHeight="1">
      <c r="A97" s="24"/>
      <c r="B97" s="30"/>
      <c r="C97" s="31"/>
      <c r="D97" s="21" t="s">
        <v>37</v>
      </c>
      <c r="E97" s="37"/>
      <c r="F97" s="21" t="s">
        <v>38</v>
      </c>
      <c r="G97" s="21"/>
      <c r="H97" s="6">
        <f>1*800</f>
        <v>800</v>
      </c>
      <c r="I97" s="39"/>
    </row>
    <row r="98" spans="1:9">
      <c r="A98" s="24"/>
      <c r="B98" s="30"/>
      <c r="C98" s="31"/>
      <c r="D98" s="21" t="s">
        <v>25</v>
      </c>
      <c r="E98" s="37"/>
      <c r="F98" s="40" t="s">
        <v>108</v>
      </c>
      <c r="G98" s="21"/>
      <c r="H98" s="6">
        <f>16367*18%</f>
        <v>2946.06</v>
      </c>
      <c r="I98" s="39"/>
    </row>
    <row r="99" spans="1:9">
      <c r="A99" s="25"/>
      <c r="B99" s="32"/>
      <c r="C99" s="33"/>
      <c r="D99" s="21" t="s">
        <v>40</v>
      </c>
      <c r="E99" s="37"/>
      <c r="F99" s="21" t="s">
        <v>53</v>
      </c>
      <c r="G99" s="21"/>
      <c r="H99" s="6">
        <f>SUM(H90:H98)*20%</f>
        <v>3862.6120000000005</v>
      </c>
      <c r="I99" s="39"/>
    </row>
    <row r="100" spans="1:9" ht="26.45" customHeight="1">
      <c r="A100" s="44">
        <v>8</v>
      </c>
      <c r="B100" s="21"/>
      <c r="C100" s="21" t="s">
        <v>71</v>
      </c>
      <c r="D100" s="21" t="s">
        <v>12</v>
      </c>
      <c r="E100" s="21"/>
      <c r="F100" s="21" t="s">
        <v>57</v>
      </c>
      <c r="G100" s="21"/>
      <c r="H100" s="38">
        <f>(2*700*2)+(4*350*1)</f>
        <v>4200</v>
      </c>
      <c r="I100" s="39">
        <f>H100+H103+H104+H106+H107+H108+H109+H110</f>
        <v>10088.567999999999</v>
      </c>
    </row>
    <row r="101" spans="1:9" ht="26.45" customHeight="1">
      <c r="A101" s="44"/>
      <c r="B101" s="21"/>
      <c r="C101" s="21"/>
      <c r="D101" s="21"/>
      <c r="E101" s="21"/>
      <c r="F101" s="21" t="s">
        <v>72</v>
      </c>
      <c r="G101" s="21"/>
      <c r="H101" s="38"/>
      <c r="I101" s="39"/>
    </row>
    <row r="102" spans="1:9">
      <c r="A102" s="44"/>
      <c r="B102" s="21"/>
      <c r="C102" s="21"/>
      <c r="D102" s="21"/>
      <c r="E102" s="21"/>
      <c r="F102" s="21"/>
      <c r="G102" s="21"/>
      <c r="H102" s="38"/>
      <c r="I102" s="39"/>
    </row>
    <row r="103" spans="1:9" ht="26.45" customHeight="1">
      <c r="A103" s="44"/>
      <c r="B103" s="21"/>
      <c r="C103" s="21"/>
      <c r="D103" s="21" t="s">
        <v>14</v>
      </c>
      <c r="E103" s="21"/>
      <c r="F103" s="21" t="s">
        <v>73</v>
      </c>
      <c r="G103" s="21"/>
      <c r="H103" s="6">
        <f>1*2*60</f>
        <v>120</v>
      </c>
      <c r="I103" s="39"/>
    </row>
    <row r="104" spans="1:9">
      <c r="A104" s="44"/>
      <c r="B104" s="21"/>
      <c r="C104" s="21"/>
      <c r="D104" s="21" t="s">
        <v>16</v>
      </c>
      <c r="E104" s="21"/>
      <c r="F104" s="21" t="s">
        <v>109</v>
      </c>
      <c r="G104" s="21"/>
      <c r="H104" s="38">
        <f>4320*30.2%</f>
        <v>1304.6399999999999</v>
      </c>
      <c r="I104" s="39"/>
    </row>
    <row r="105" spans="1:9">
      <c r="A105" s="44"/>
      <c r="B105" s="21"/>
      <c r="C105" s="21"/>
      <c r="D105" s="21"/>
      <c r="E105" s="21"/>
      <c r="F105" s="21"/>
      <c r="G105" s="21"/>
      <c r="H105" s="38"/>
      <c r="I105" s="39"/>
    </row>
    <row r="106" spans="1:9">
      <c r="A106" s="44"/>
      <c r="B106" s="21"/>
      <c r="C106" s="21"/>
      <c r="D106" s="21" t="s">
        <v>20</v>
      </c>
      <c r="E106" s="21"/>
      <c r="F106" s="21" t="s">
        <v>74</v>
      </c>
      <c r="G106" s="21"/>
      <c r="H106" s="6">
        <f>1*500</f>
        <v>500</v>
      </c>
      <c r="I106" s="39"/>
    </row>
    <row r="107" spans="1:9" ht="26.45" customHeight="1">
      <c r="A107" s="44"/>
      <c r="B107" s="21"/>
      <c r="C107" s="21"/>
      <c r="D107" s="21" t="s">
        <v>22</v>
      </c>
      <c r="E107" s="21"/>
      <c r="F107" s="21" t="s">
        <v>74</v>
      </c>
      <c r="G107" s="21"/>
      <c r="H107" s="6">
        <f>1*500</f>
        <v>500</v>
      </c>
      <c r="I107" s="39"/>
    </row>
    <row r="108" spans="1:9" ht="26.45" customHeight="1">
      <c r="A108" s="44"/>
      <c r="B108" s="21"/>
      <c r="C108" s="21"/>
      <c r="D108" s="21" t="s">
        <v>33</v>
      </c>
      <c r="E108" s="21"/>
      <c r="F108" s="21" t="s">
        <v>75</v>
      </c>
      <c r="G108" s="21"/>
      <c r="H108" s="6">
        <f>1*500</f>
        <v>500</v>
      </c>
      <c r="I108" s="39"/>
    </row>
    <row r="109" spans="1:9">
      <c r="A109" s="44"/>
      <c r="B109" s="21"/>
      <c r="C109" s="21"/>
      <c r="D109" s="21" t="s">
        <v>25</v>
      </c>
      <c r="E109" s="21"/>
      <c r="F109" s="40" t="s">
        <v>136</v>
      </c>
      <c r="G109" s="40"/>
      <c r="H109" s="6">
        <f>7125*18%</f>
        <v>1282.5</v>
      </c>
      <c r="I109" s="39"/>
    </row>
    <row r="110" spans="1:9" ht="26.45" customHeight="1">
      <c r="A110" s="44"/>
      <c r="B110" s="21"/>
      <c r="C110" s="21"/>
      <c r="D110" s="21" t="s">
        <v>40</v>
      </c>
      <c r="E110" s="21"/>
      <c r="F110" s="21" t="s">
        <v>53</v>
      </c>
      <c r="G110" s="21"/>
      <c r="H110" s="6">
        <f>SUM(H100:H109)*20%</f>
        <v>1681.4279999999999</v>
      </c>
      <c r="I110" s="39"/>
    </row>
    <row r="111" spans="1:9" ht="61.9" customHeight="1">
      <c r="A111" s="44">
        <v>9</v>
      </c>
      <c r="B111" s="21"/>
      <c r="C111" s="21" t="s">
        <v>77</v>
      </c>
      <c r="D111" s="21" t="s">
        <v>12</v>
      </c>
      <c r="E111" s="21"/>
      <c r="F111" s="21" t="s">
        <v>78</v>
      </c>
      <c r="G111" s="21"/>
      <c r="H111" s="38">
        <f>(2*700*5)+(4*200*30)</f>
        <v>31000</v>
      </c>
      <c r="I111" s="39">
        <f>H111+H113+H114+H116+H117+H118+H119+H120+H121</f>
        <v>64436.016000000003</v>
      </c>
    </row>
    <row r="112" spans="1:9" ht="26.45" customHeight="1">
      <c r="A112" s="44"/>
      <c r="B112" s="21"/>
      <c r="C112" s="21"/>
      <c r="D112" s="21"/>
      <c r="E112" s="21"/>
      <c r="F112" s="21" t="s">
        <v>79</v>
      </c>
      <c r="G112" s="21"/>
      <c r="H112" s="38"/>
      <c r="I112" s="39"/>
    </row>
    <row r="113" spans="1:9">
      <c r="A113" s="44"/>
      <c r="B113" s="21"/>
      <c r="C113" s="21"/>
      <c r="D113" s="21" t="s">
        <v>14</v>
      </c>
      <c r="E113" s="21"/>
      <c r="F113" s="21" t="s">
        <v>80</v>
      </c>
      <c r="G113" s="21"/>
      <c r="H113" s="6">
        <f>60*30</f>
        <v>1800</v>
      </c>
      <c r="I113" s="39"/>
    </row>
    <row r="114" spans="1:9">
      <c r="A114" s="44"/>
      <c r="B114" s="21"/>
      <c r="C114" s="21"/>
      <c r="D114" s="21" t="s">
        <v>16</v>
      </c>
      <c r="E114" s="21"/>
      <c r="F114" s="21" t="s">
        <v>110</v>
      </c>
      <c r="G114" s="21"/>
      <c r="H114" s="38">
        <f>32800*30.2%</f>
        <v>9905.6</v>
      </c>
      <c r="I114" s="39"/>
    </row>
    <row r="115" spans="1:9">
      <c r="A115" s="44"/>
      <c r="B115" s="21"/>
      <c r="C115" s="21"/>
      <c r="D115" s="21"/>
      <c r="E115" s="21"/>
      <c r="F115" s="21"/>
      <c r="G115" s="21"/>
      <c r="H115" s="38"/>
      <c r="I115" s="39"/>
    </row>
    <row r="116" spans="1:9" ht="26.45" customHeight="1">
      <c r="A116" s="44"/>
      <c r="B116" s="21"/>
      <c r="C116" s="21"/>
      <c r="D116" s="21" t="s">
        <v>20</v>
      </c>
      <c r="E116" s="21"/>
      <c r="F116" s="21" t="s">
        <v>48</v>
      </c>
      <c r="G116" s="21"/>
      <c r="H116" s="6">
        <f>500*1</f>
        <v>500</v>
      </c>
      <c r="I116" s="39"/>
    </row>
    <row r="117" spans="1:9" ht="26.45" customHeight="1">
      <c r="A117" s="44"/>
      <c r="B117" s="21"/>
      <c r="C117" s="21"/>
      <c r="D117" s="21" t="s">
        <v>22</v>
      </c>
      <c r="E117" s="21"/>
      <c r="F117" s="21" t="s">
        <v>81</v>
      </c>
      <c r="G117" s="21"/>
      <c r="H117" s="6">
        <f>500*1</f>
        <v>500</v>
      </c>
      <c r="I117" s="39"/>
    </row>
    <row r="118" spans="1:9">
      <c r="A118" s="44"/>
      <c r="B118" s="21"/>
      <c r="C118" s="21"/>
      <c r="D118" s="21" t="s">
        <v>35</v>
      </c>
      <c r="E118" s="21"/>
      <c r="F118" s="21" t="s">
        <v>36</v>
      </c>
      <c r="G118" s="21"/>
      <c r="H118" s="6">
        <f>100*10</f>
        <v>1000</v>
      </c>
      <c r="I118" s="39"/>
    </row>
    <row r="119" spans="1:9" ht="26.45" customHeight="1">
      <c r="A119" s="44"/>
      <c r="B119" s="21"/>
      <c r="C119" s="21"/>
      <c r="D119" s="21" t="s">
        <v>37</v>
      </c>
      <c r="E119" s="21"/>
      <c r="F119" s="21" t="s">
        <v>38</v>
      </c>
      <c r="G119" s="21"/>
      <c r="H119" s="6">
        <f>1*800</f>
        <v>800</v>
      </c>
      <c r="I119" s="39"/>
    </row>
    <row r="120" spans="1:9">
      <c r="A120" s="44"/>
      <c r="B120" s="21"/>
      <c r="C120" s="21"/>
      <c r="D120" s="21" t="s">
        <v>25</v>
      </c>
      <c r="E120" s="21"/>
      <c r="F120" s="40" t="s">
        <v>111</v>
      </c>
      <c r="G120" s="40"/>
      <c r="H120" s="6">
        <f>45506*18%</f>
        <v>8191.08</v>
      </c>
      <c r="I120" s="39"/>
    </row>
    <row r="121" spans="1:9" ht="26.45" customHeight="1">
      <c r="A121" s="44"/>
      <c r="B121" s="21"/>
      <c r="C121" s="21"/>
      <c r="D121" s="21" t="s">
        <v>40</v>
      </c>
      <c r="E121" s="21"/>
      <c r="F121" s="21" t="s">
        <v>53</v>
      </c>
      <c r="G121" s="21"/>
      <c r="H121" s="6">
        <f>SUM(H111:H120)*20%</f>
        <v>10739.336000000001</v>
      </c>
      <c r="I121" s="39"/>
    </row>
    <row r="122" spans="1:9" ht="26.45" customHeight="1">
      <c r="A122" s="44">
        <v>10</v>
      </c>
      <c r="B122" s="21"/>
      <c r="C122" s="21" t="s">
        <v>82</v>
      </c>
      <c r="D122" s="21" t="s">
        <v>12</v>
      </c>
      <c r="E122" s="21"/>
      <c r="F122" s="21" t="s">
        <v>43</v>
      </c>
      <c r="G122" s="21"/>
      <c r="H122" s="38">
        <f>(700*2*2)+(4*350*1)</f>
        <v>4200</v>
      </c>
      <c r="I122" s="39">
        <f>H122+H125+H126+H128+H129+H130+H131+H132+H133+H134</f>
        <v>12495.768</v>
      </c>
    </row>
    <row r="123" spans="1:9" ht="26.45" customHeight="1">
      <c r="A123" s="44"/>
      <c r="B123" s="21"/>
      <c r="C123" s="21"/>
      <c r="D123" s="21"/>
      <c r="E123" s="21"/>
      <c r="F123" s="21" t="s">
        <v>83</v>
      </c>
      <c r="G123" s="21"/>
      <c r="H123" s="38"/>
      <c r="I123" s="39"/>
    </row>
    <row r="124" spans="1:9">
      <c r="A124" s="44"/>
      <c r="B124" s="21"/>
      <c r="C124" s="21"/>
      <c r="D124" s="21"/>
      <c r="E124" s="21"/>
      <c r="F124" s="21"/>
      <c r="G124" s="21"/>
      <c r="H124" s="38"/>
      <c r="I124" s="39"/>
    </row>
    <row r="125" spans="1:9">
      <c r="A125" s="44"/>
      <c r="B125" s="21"/>
      <c r="C125" s="21"/>
      <c r="D125" s="21" t="s">
        <v>14</v>
      </c>
      <c r="E125" s="21"/>
      <c r="F125" s="21" t="s">
        <v>84</v>
      </c>
      <c r="G125" s="21"/>
      <c r="H125" s="6">
        <f>2*60</f>
        <v>120</v>
      </c>
      <c r="I125" s="39"/>
    </row>
    <row r="126" spans="1:9">
      <c r="A126" s="44"/>
      <c r="B126" s="21"/>
      <c r="C126" s="21"/>
      <c r="D126" s="21" t="s">
        <v>16</v>
      </c>
      <c r="E126" s="21"/>
      <c r="F126" s="21" t="s">
        <v>112</v>
      </c>
      <c r="G126" s="21"/>
      <c r="H126" s="38">
        <f>4320*30.2%</f>
        <v>1304.6399999999999</v>
      </c>
      <c r="I126" s="39"/>
    </row>
    <row r="127" spans="1:9">
      <c r="A127" s="44"/>
      <c r="B127" s="21"/>
      <c r="C127" s="21"/>
      <c r="D127" s="21"/>
      <c r="E127" s="21"/>
      <c r="F127" s="21"/>
      <c r="G127" s="21"/>
      <c r="H127" s="38"/>
      <c r="I127" s="39"/>
    </row>
    <row r="128" spans="1:9" ht="26.45" customHeight="1">
      <c r="A128" s="44"/>
      <c r="B128" s="21"/>
      <c r="C128" s="21"/>
      <c r="D128" s="21" t="s">
        <v>20</v>
      </c>
      <c r="E128" s="21"/>
      <c r="F128" s="21" t="s">
        <v>48</v>
      </c>
      <c r="G128" s="21"/>
      <c r="H128" s="6">
        <f>1*500</f>
        <v>500</v>
      </c>
      <c r="I128" s="39"/>
    </row>
    <row r="129" spans="1:9" ht="26.45" customHeight="1">
      <c r="A129" s="44"/>
      <c r="B129" s="21"/>
      <c r="C129" s="21"/>
      <c r="D129" s="21" t="s">
        <v>22</v>
      </c>
      <c r="E129" s="21"/>
      <c r="F129" s="21" t="s">
        <v>81</v>
      </c>
      <c r="G129" s="21"/>
      <c r="H129" s="6">
        <f>1*500</f>
        <v>500</v>
      </c>
      <c r="I129" s="39"/>
    </row>
    <row r="130" spans="1:9">
      <c r="A130" s="44"/>
      <c r="B130" s="21"/>
      <c r="C130" s="21"/>
      <c r="D130" s="21" t="s">
        <v>35</v>
      </c>
      <c r="E130" s="21"/>
      <c r="F130" s="21" t="s">
        <v>85</v>
      </c>
      <c r="G130" s="21"/>
      <c r="H130" s="6">
        <f>10*100</f>
        <v>1000</v>
      </c>
      <c r="I130" s="39"/>
    </row>
    <row r="131" spans="1:9" ht="26.45" customHeight="1">
      <c r="A131" s="44"/>
      <c r="B131" s="21"/>
      <c r="C131" s="21"/>
      <c r="D131" s="21" t="s">
        <v>37</v>
      </c>
      <c r="E131" s="21"/>
      <c r="F131" s="21" t="s">
        <v>38</v>
      </c>
      <c r="G131" s="21"/>
      <c r="H131" s="6">
        <f>1*800</f>
        <v>800</v>
      </c>
      <c r="I131" s="39"/>
    </row>
    <row r="132" spans="1:9" ht="26.45" customHeight="1">
      <c r="A132" s="44"/>
      <c r="B132" s="21"/>
      <c r="C132" s="21"/>
      <c r="D132" s="21" t="s">
        <v>18</v>
      </c>
      <c r="E132" s="21"/>
      <c r="F132" s="21" t="s">
        <v>76</v>
      </c>
      <c r="G132" s="21"/>
      <c r="H132" s="6">
        <f>1*200*2</f>
        <v>400</v>
      </c>
      <c r="I132" s="39"/>
    </row>
    <row r="133" spans="1:9">
      <c r="A133" s="44"/>
      <c r="B133" s="21"/>
      <c r="C133" s="21"/>
      <c r="D133" s="21" t="s">
        <v>25</v>
      </c>
      <c r="E133" s="21"/>
      <c r="F133" s="40" t="s">
        <v>113</v>
      </c>
      <c r="G133" s="40"/>
      <c r="H133" s="6">
        <f>8825*18%</f>
        <v>1588.5</v>
      </c>
      <c r="I133" s="39"/>
    </row>
    <row r="134" spans="1:9" ht="26.45" customHeight="1">
      <c r="A134" s="44"/>
      <c r="B134" s="21"/>
      <c r="C134" s="21"/>
      <c r="D134" s="21" t="s">
        <v>40</v>
      </c>
      <c r="E134" s="21"/>
      <c r="F134" s="21" t="s">
        <v>53</v>
      </c>
      <c r="G134" s="21"/>
      <c r="H134" s="6">
        <f>SUM(H122:H133)*20%</f>
        <v>2082.6280000000002</v>
      </c>
      <c r="I134" s="39"/>
    </row>
    <row r="135" spans="1:9" ht="26.45" customHeight="1">
      <c r="A135" s="44">
        <v>11</v>
      </c>
      <c r="B135" s="21"/>
      <c r="C135" s="21" t="s">
        <v>86</v>
      </c>
      <c r="D135" s="21" t="s">
        <v>12</v>
      </c>
      <c r="E135" s="21"/>
      <c r="F135" s="21" t="s">
        <v>114</v>
      </c>
      <c r="G135" s="21"/>
      <c r="H135" s="38">
        <f>(2*700*2)+(8*350*2)</f>
        <v>8400</v>
      </c>
      <c r="I135" s="39">
        <f>H135+H137+H138+H140+H141+H142+H143+H144+H145+H146+H147</f>
        <v>25840.92</v>
      </c>
    </row>
    <row r="136" spans="1:9" ht="26.45" customHeight="1">
      <c r="A136" s="44"/>
      <c r="B136" s="21"/>
      <c r="C136" s="21"/>
      <c r="D136" s="21"/>
      <c r="E136" s="21"/>
      <c r="F136" s="21" t="s">
        <v>115</v>
      </c>
      <c r="G136" s="21"/>
      <c r="H136" s="38"/>
      <c r="I136" s="39"/>
    </row>
    <row r="137" spans="1:9">
      <c r="A137" s="44"/>
      <c r="B137" s="21"/>
      <c r="C137" s="21"/>
      <c r="D137" s="21" t="s">
        <v>14</v>
      </c>
      <c r="E137" s="21"/>
      <c r="F137" s="21" t="s">
        <v>116</v>
      </c>
      <c r="G137" s="21"/>
      <c r="H137" s="6">
        <f>1*4*60</f>
        <v>240</v>
      </c>
      <c r="I137" s="39"/>
    </row>
    <row r="138" spans="1:9">
      <c r="A138" s="44"/>
      <c r="B138" s="21"/>
      <c r="C138" s="21"/>
      <c r="D138" s="21" t="s">
        <v>16</v>
      </c>
      <c r="E138" s="21"/>
      <c r="F138" s="21" t="s">
        <v>117</v>
      </c>
      <c r="G138" s="21"/>
      <c r="H138" s="38">
        <f>8640*30.2%</f>
        <v>2609.2799999999997</v>
      </c>
      <c r="I138" s="39"/>
    </row>
    <row r="139" spans="1:9">
      <c r="A139" s="44"/>
      <c r="B139" s="21"/>
      <c r="C139" s="21"/>
      <c r="D139" s="21"/>
      <c r="E139" s="21"/>
      <c r="F139" s="21"/>
      <c r="G139" s="21"/>
      <c r="H139" s="38"/>
      <c r="I139" s="39"/>
    </row>
    <row r="140" spans="1:9" ht="26.45" customHeight="1">
      <c r="A140" s="44"/>
      <c r="B140" s="21"/>
      <c r="C140" s="21"/>
      <c r="D140" s="21" t="s">
        <v>20</v>
      </c>
      <c r="E140" s="21"/>
      <c r="F140" s="21" t="s">
        <v>60</v>
      </c>
      <c r="G140" s="21"/>
      <c r="H140" s="6">
        <f>1*300</f>
        <v>300</v>
      </c>
      <c r="I140" s="39"/>
    </row>
    <row r="141" spans="1:9" ht="26.45" customHeight="1">
      <c r="A141" s="44"/>
      <c r="B141" s="21"/>
      <c r="C141" s="21"/>
      <c r="D141" s="21" t="s">
        <v>22</v>
      </c>
      <c r="E141" s="21"/>
      <c r="F141" s="21" t="s">
        <v>60</v>
      </c>
      <c r="G141" s="21"/>
      <c r="H141" s="6">
        <f>300*1</f>
        <v>300</v>
      </c>
      <c r="I141" s="39"/>
    </row>
    <row r="142" spans="1:9" ht="44.45" customHeight="1">
      <c r="A142" s="44"/>
      <c r="B142" s="21"/>
      <c r="C142" s="21"/>
      <c r="D142" s="21" t="s">
        <v>50</v>
      </c>
      <c r="E142" s="21"/>
      <c r="F142" s="21" t="s">
        <v>126</v>
      </c>
      <c r="G142" s="21"/>
      <c r="H142" s="6">
        <f>4*900</f>
        <v>3600</v>
      </c>
      <c r="I142" s="39"/>
    </row>
    <row r="143" spans="1:9" ht="26.45" customHeight="1">
      <c r="A143" s="44"/>
      <c r="B143" s="21"/>
      <c r="C143" s="21"/>
      <c r="D143" s="21" t="s">
        <v>33</v>
      </c>
      <c r="E143" s="21"/>
      <c r="F143" s="21" t="s">
        <v>118</v>
      </c>
      <c r="G143" s="21"/>
      <c r="H143" s="6">
        <f>1*1000</f>
        <v>1000</v>
      </c>
      <c r="I143" s="39"/>
    </row>
    <row r="144" spans="1:9">
      <c r="A144" s="44"/>
      <c r="B144" s="21"/>
      <c r="C144" s="21"/>
      <c r="D144" s="21" t="s">
        <v>35</v>
      </c>
      <c r="E144" s="21"/>
      <c r="F144" s="21" t="s">
        <v>36</v>
      </c>
      <c r="G144" s="21"/>
      <c r="H144" s="6">
        <f>100*10</f>
        <v>1000</v>
      </c>
      <c r="I144" s="39"/>
    </row>
    <row r="145" spans="1:9" ht="26.45" customHeight="1">
      <c r="A145" s="44"/>
      <c r="B145" s="21"/>
      <c r="C145" s="21"/>
      <c r="D145" s="21" t="s">
        <v>37</v>
      </c>
      <c r="E145" s="21"/>
      <c r="F145" s="21" t="s">
        <v>38</v>
      </c>
      <c r="G145" s="21"/>
      <c r="H145" s="6">
        <f>1*800</f>
        <v>800</v>
      </c>
      <c r="I145" s="39"/>
    </row>
    <row r="146" spans="1:9">
      <c r="A146" s="44"/>
      <c r="B146" s="21"/>
      <c r="C146" s="21"/>
      <c r="D146" s="21" t="s">
        <v>25</v>
      </c>
      <c r="E146" s="21"/>
      <c r="F146" s="40" t="s">
        <v>128</v>
      </c>
      <c r="G146" s="40"/>
      <c r="H146" s="6">
        <f>18249*18%</f>
        <v>3284.8199999999997</v>
      </c>
      <c r="I146" s="39"/>
    </row>
    <row r="147" spans="1:9" ht="26.45" customHeight="1">
      <c r="A147" s="44"/>
      <c r="B147" s="21"/>
      <c r="C147" s="21"/>
      <c r="D147" s="21" t="s">
        <v>40</v>
      </c>
      <c r="E147" s="21"/>
      <c r="F147" s="21" t="s">
        <v>53</v>
      </c>
      <c r="G147" s="21"/>
      <c r="H147" s="6">
        <f>SUM(H135:H146)*20%</f>
        <v>4306.82</v>
      </c>
      <c r="I147" s="39"/>
    </row>
    <row r="148" spans="1:9" ht="26.45" customHeight="1">
      <c r="A148" s="44">
        <v>12</v>
      </c>
      <c r="B148" s="21"/>
      <c r="C148" s="21" t="s">
        <v>87</v>
      </c>
      <c r="D148" s="21" t="s">
        <v>12</v>
      </c>
      <c r="E148" s="21"/>
      <c r="F148" s="21" t="s">
        <v>119</v>
      </c>
      <c r="G148" s="21"/>
      <c r="H148" s="38">
        <f>(2*700*2)+(12*350*1)</f>
        <v>7000</v>
      </c>
      <c r="I148" s="9">
        <f>H148+H150+H151+H152+H154+H155+H156+H157+H158+H159+H160+H161+H162+H163</f>
        <v>46660.464</v>
      </c>
    </row>
    <row r="149" spans="1:9" ht="26.45" customHeight="1">
      <c r="A149" s="44"/>
      <c r="B149" s="21"/>
      <c r="C149" s="21"/>
      <c r="D149" s="21"/>
      <c r="E149" s="21"/>
      <c r="F149" s="21" t="s">
        <v>65</v>
      </c>
      <c r="G149" s="21"/>
      <c r="H149" s="38"/>
      <c r="I149" s="9"/>
    </row>
    <row r="150" spans="1:9">
      <c r="A150" s="44"/>
      <c r="B150" s="21"/>
      <c r="C150" s="21"/>
      <c r="D150" s="21" t="s">
        <v>45</v>
      </c>
      <c r="E150" s="21"/>
      <c r="F150" s="21" t="s">
        <v>46</v>
      </c>
      <c r="G150" s="21"/>
      <c r="H150" s="6">
        <f>1*2000</f>
        <v>2000</v>
      </c>
      <c r="I150" s="10"/>
    </row>
    <row r="151" spans="1:9" ht="26.45" customHeight="1">
      <c r="A151" s="44"/>
      <c r="B151" s="21"/>
      <c r="C151" s="21"/>
      <c r="D151" s="21" t="s">
        <v>14</v>
      </c>
      <c r="E151" s="21"/>
      <c r="F151" s="21" t="s">
        <v>88</v>
      </c>
      <c r="G151" s="21"/>
      <c r="H151" s="6">
        <f>1*3*60</f>
        <v>180</v>
      </c>
      <c r="I151" s="10"/>
    </row>
    <row r="152" spans="1:9">
      <c r="A152" s="44"/>
      <c r="B152" s="21"/>
      <c r="C152" s="21"/>
      <c r="D152" s="21" t="s">
        <v>16</v>
      </c>
      <c r="E152" s="21"/>
      <c r="F152" s="21" t="s">
        <v>121</v>
      </c>
      <c r="G152" s="21"/>
      <c r="H152" s="38">
        <f>9180*30.2%</f>
        <v>2772.36</v>
      </c>
      <c r="I152" s="10"/>
    </row>
    <row r="153" spans="1:9">
      <c r="A153" s="44"/>
      <c r="B153" s="21"/>
      <c r="C153" s="21"/>
      <c r="D153" s="21"/>
      <c r="E153" s="21"/>
      <c r="F153" s="21"/>
      <c r="G153" s="21"/>
      <c r="H153" s="38"/>
      <c r="I153" s="10"/>
    </row>
    <row r="154" spans="1:9" ht="26.45" customHeight="1">
      <c r="A154" s="44"/>
      <c r="B154" s="21"/>
      <c r="C154" s="21"/>
      <c r="D154" s="21" t="s">
        <v>20</v>
      </c>
      <c r="E154" s="21"/>
      <c r="F154" s="21" t="s">
        <v>48</v>
      </c>
      <c r="G154" s="21"/>
      <c r="H154" s="6">
        <f>1*500</f>
        <v>500</v>
      </c>
      <c r="I154" s="10"/>
    </row>
    <row r="155" spans="1:9" ht="26.45" customHeight="1">
      <c r="A155" s="44"/>
      <c r="B155" s="21"/>
      <c r="C155" s="21"/>
      <c r="D155" s="21" t="s">
        <v>22</v>
      </c>
      <c r="E155" s="21"/>
      <c r="F155" s="21" t="s">
        <v>49</v>
      </c>
      <c r="G155" s="21"/>
      <c r="H155" s="6">
        <f>1*800</f>
        <v>800</v>
      </c>
      <c r="I155" s="10"/>
    </row>
    <row r="156" spans="1:9" ht="26.45" customHeight="1">
      <c r="A156" s="44"/>
      <c r="B156" s="21"/>
      <c r="C156" s="21"/>
      <c r="D156" s="21" t="s">
        <v>33</v>
      </c>
      <c r="E156" s="21"/>
      <c r="F156" s="21" t="s">
        <v>48</v>
      </c>
      <c r="G156" s="21"/>
      <c r="H156" s="6">
        <f>1*500</f>
        <v>500</v>
      </c>
      <c r="I156" s="10"/>
    </row>
    <row r="157" spans="1:9" ht="39.6" customHeight="1">
      <c r="A157" s="44"/>
      <c r="B157" s="21"/>
      <c r="C157" s="21"/>
      <c r="D157" s="21" t="s">
        <v>50</v>
      </c>
      <c r="E157" s="21"/>
      <c r="F157" s="21" t="s">
        <v>89</v>
      </c>
      <c r="G157" s="21"/>
      <c r="H157" s="6">
        <f>3*600</f>
        <v>1800</v>
      </c>
      <c r="I157" s="10"/>
    </row>
    <row r="158" spans="1:9">
      <c r="A158" s="44"/>
      <c r="B158" s="21"/>
      <c r="C158" s="21"/>
      <c r="D158" s="21" t="s">
        <v>35</v>
      </c>
      <c r="E158" s="21"/>
      <c r="F158" s="21" t="s">
        <v>36</v>
      </c>
      <c r="G158" s="21"/>
      <c r="H158" s="6">
        <f>100*10</f>
        <v>1000</v>
      </c>
      <c r="I158" s="10"/>
    </row>
    <row r="159" spans="1:9" ht="26.45" customHeight="1">
      <c r="A159" s="44"/>
      <c r="B159" s="21"/>
      <c r="C159" s="21"/>
      <c r="D159" s="21" t="s">
        <v>37</v>
      </c>
      <c r="E159" s="21"/>
      <c r="F159" s="21" t="s">
        <v>38</v>
      </c>
      <c r="G159" s="21"/>
      <c r="H159" s="6">
        <f>1*800</f>
        <v>800</v>
      </c>
      <c r="I159" s="10"/>
    </row>
    <row r="160" spans="1:9" ht="26.45" customHeight="1">
      <c r="A160" s="44"/>
      <c r="B160" s="21"/>
      <c r="C160" s="21"/>
      <c r="D160" s="21" t="s">
        <v>18</v>
      </c>
      <c r="E160" s="21"/>
      <c r="F160" s="21" t="s">
        <v>120</v>
      </c>
      <c r="G160" s="21"/>
      <c r="H160" s="6">
        <f>1*200*3</f>
        <v>600</v>
      </c>
      <c r="I160" s="10"/>
    </row>
    <row r="161" spans="1:9">
      <c r="A161" s="44"/>
      <c r="B161" s="21"/>
      <c r="C161" s="21"/>
      <c r="D161" s="21" t="s">
        <v>90</v>
      </c>
      <c r="E161" s="21"/>
      <c r="F161" s="21" t="s">
        <v>133</v>
      </c>
      <c r="G161" s="21"/>
      <c r="H161" s="6">
        <v>15000</v>
      </c>
      <c r="I161" s="10"/>
    </row>
    <row r="162" spans="1:9">
      <c r="A162" s="44"/>
      <c r="B162" s="21"/>
      <c r="C162" s="21"/>
      <c r="D162" s="21" t="s">
        <v>25</v>
      </c>
      <c r="E162" s="21"/>
      <c r="F162" s="40" t="s">
        <v>134</v>
      </c>
      <c r="G162" s="40"/>
      <c r="H162" s="6">
        <f>32952*18%</f>
        <v>5931.36</v>
      </c>
      <c r="I162" s="10"/>
    </row>
    <row r="163" spans="1:9" ht="26.45" customHeight="1">
      <c r="A163" s="44"/>
      <c r="B163" s="21"/>
      <c r="C163" s="21"/>
      <c r="D163" s="21" t="s">
        <v>40</v>
      </c>
      <c r="E163" s="21"/>
      <c r="F163" s="21" t="s">
        <v>53</v>
      </c>
      <c r="G163" s="21"/>
      <c r="H163" s="6">
        <f>SUM(H148:H162)*20%</f>
        <v>7776.7440000000006</v>
      </c>
      <c r="I163" s="10"/>
    </row>
    <row r="164" spans="1:9" ht="26.45" customHeight="1">
      <c r="A164" s="44">
        <v>13</v>
      </c>
      <c r="B164" s="21"/>
      <c r="C164" s="21" t="s">
        <v>91</v>
      </c>
      <c r="D164" s="21" t="s">
        <v>8</v>
      </c>
      <c r="E164" s="21"/>
      <c r="F164" s="21" t="s">
        <v>124</v>
      </c>
      <c r="G164" s="21"/>
      <c r="H164" s="6">
        <f>1*2000*3</f>
        <v>6000</v>
      </c>
      <c r="I164" s="39">
        <f>H164+H165+H166+H167+H170+H171+H173+H174+H172+H169</f>
        <v>147167.44</v>
      </c>
    </row>
    <row r="165" spans="1:9" ht="26.45" customHeight="1">
      <c r="A165" s="44"/>
      <c r="B165" s="21"/>
      <c r="C165" s="21"/>
      <c r="D165" s="21" t="s">
        <v>92</v>
      </c>
      <c r="E165" s="21"/>
      <c r="F165" s="21" t="s">
        <v>123</v>
      </c>
      <c r="G165" s="21"/>
      <c r="H165" s="6">
        <f>300*1*60</f>
        <v>18000</v>
      </c>
      <c r="I165" s="39"/>
    </row>
    <row r="166" spans="1:9" ht="26.45" customHeight="1">
      <c r="A166" s="44"/>
      <c r="B166" s="21"/>
      <c r="C166" s="21"/>
      <c r="D166" s="21" t="s">
        <v>93</v>
      </c>
      <c r="E166" s="21"/>
      <c r="F166" s="21" t="s">
        <v>94</v>
      </c>
      <c r="G166" s="21"/>
      <c r="H166" s="6">
        <f>1*60*60</f>
        <v>3600</v>
      </c>
      <c r="I166" s="39"/>
    </row>
    <row r="167" spans="1:9">
      <c r="A167" s="44"/>
      <c r="B167" s="21"/>
      <c r="C167" s="21"/>
      <c r="D167" s="21" t="s">
        <v>16</v>
      </c>
      <c r="E167" s="21"/>
      <c r="F167" s="21" t="s">
        <v>127</v>
      </c>
      <c r="G167" s="21"/>
      <c r="H167" s="38">
        <f>27600*30.2%</f>
        <v>8335.1999999999989</v>
      </c>
      <c r="I167" s="39"/>
    </row>
    <row r="168" spans="1:9">
      <c r="A168" s="44"/>
      <c r="B168" s="21"/>
      <c r="C168" s="21"/>
      <c r="D168" s="21"/>
      <c r="E168" s="21"/>
      <c r="F168" s="21"/>
      <c r="G168" s="21"/>
      <c r="H168" s="38"/>
      <c r="I168" s="39"/>
    </row>
    <row r="169" spans="1:9" ht="28.15" customHeight="1">
      <c r="A169" s="44"/>
      <c r="B169" s="21"/>
      <c r="C169" s="21"/>
      <c r="D169" s="42" t="s">
        <v>22</v>
      </c>
      <c r="E169" s="43"/>
      <c r="F169" s="42" t="s">
        <v>137</v>
      </c>
      <c r="G169" s="43"/>
      <c r="H169" s="15">
        <v>383</v>
      </c>
      <c r="I169" s="39"/>
    </row>
    <row r="170" spans="1:9" ht="39.6" customHeight="1">
      <c r="A170" s="44"/>
      <c r="B170" s="21"/>
      <c r="C170" s="21"/>
      <c r="D170" s="21" t="s">
        <v>50</v>
      </c>
      <c r="E170" s="21"/>
      <c r="F170" s="21" t="s">
        <v>122</v>
      </c>
      <c r="G170" s="21"/>
      <c r="H170" s="6">
        <f>60 * 1150</f>
        <v>69000</v>
      </c>
      <c r="I170" s="39"/>
    </row>
    <row r="171" spans="1:9">
      <c r="A171" s="44"/>
      <c r="B171" s="21"/>
      <c r="C171" s="21"/>
      <c r="D171" s="21" t="s">
        <v>35</v>
      </c>
      <c r="E171" s="21"/>
      <c r="F171" s="21" t="s">
        <v>95</v>
      </c>
      <c r="G171" s="21"/>
      <c r="H171" s="6">
        <f>100*50</f>
        <v>5000</v>
      </c>
      <c r="I171" s="39"/>
    </row>
    <row r="172" spans="1:9" ht="27" customHeight="1">
      <c r="A172" s="44"/>
      <c r="B172" s="21"/>
      <c r="C172" s="21"/>
      <c r="D172" s="21" t="s">
        <v>37</v>
      </c>
      <c r="E172" s="21"/>
      <c r="F172" s="21" t="s">
        <v>125</v>
      </c>
      <c r="G172" s="21"/>
      <c r="H172" s="6">
        <v>2400</v>
      </c>
      <c r="I172" s="39"/>
    </row>
    <row r="173" spans="1:9" ht="26.45" customHeight="1">
      <c r="A173" s="44"/>
      <c r="B173" s="21"/>
      <c r="C173" s="21"/>
      <c r="D173" s="21" t="s">
        <v>18</v>
      </c>
      <c r="E173" s="21"/>
      <c r="F173" s="21" t="s">
        <v>96</v>
      </c>
      <c r="G173" s="21"/>
      <c r="H173" s="6">
        <f>1*200*60</f>
        <v>12000</v>
      </c>
      <c r="I173" s="39"/>
    </row>
    <row r="174" spans="1:9" ht="15.75" thickBot="1">
      <c r="A174" s="22"/>
      <c r="B174" s="45"/>
      <c r="C174" s="45"/>
      <c r="D174" s="45" t="s">
        <v>25</v>
      </c>
      <c r="E174" s="45"/>
      <c r="F174" s="46" t="s">
        <v>138</v>
      </c>
      <c r="G174" s="46"/>
      <c r="H174" s="16">
        <f>124718*18%</f>
        <v>22449.239999999998</v>
      </c>
      <c r="I174" s="41"/>
    </row>
    <row r="175" spans="1:9" ht="16.5" thickBot="1">
      <c r="A175" s="17" t="s">
        <v>139</v>
      </c>
      <c r="B175" s="18"/>
      <c r="C175" s="18"/>
      <c r="D175" s="18"/>
      <c r="E175" s="18"/>
      <c r="F175" s="18"/>
      <c r="G175" s="18"/>
      <c r="H175" s="19"/>
      <c r="I175" s="20">
        <f>SUM(I9:I174)</f>
        <v>835600.1756800001</v>
      </c>
    </row>
    <row r="176" spans="1:9">
      <c r="A176" s="1"/>
    </row>
    <row r="177" spans="1:1">
      <c r="A177" s="3"/>
    </row>
    <row r="178" spans="1:1">
      <c r="A178" s="4" t="s">
        <v>97</v>
      </c>
    </row>
    <row r="179" spans="1:1" ht="15.75">
      <c r="A179" s="5"/>
    </row>
    <row r="180" spans="1:1" ht="15.75">
      <c r="A180" s="5"/>
    </row>
    <row r="181" spans="1:1" ht="15.75">
      <c r="A181" s="5"/>
    </row>
    <row r="182" spans="1:1" ht="15.75">
      <c r="A182" s="5"/>
    </row>
    <row r="183" spans="1:1" ht="15.75">
      <c r="A183" s="5"/>
    </row>
    <row r="184" spans="1:1" ht="15.75">
      <c r="A184" s="5"/>
    </row>
    <row r="185" spans="1:1" ht="15.75">
      <c r="A185" s="5"/>
    </row>
    <row r="186" spans="1:1" ht="15.75">
      <c r="A186" s="5"/>
    </row>
    <row r="187" spans="1:1" ht="15.75">
      <c r="A187" s="5"/>
    </row>
    <row r="188" spans="1:1" ht="15.75">
      <c r="A188" s="5"/>
    </row>
    <row r="189" spans="1:1" ht="15.75">
      <c r="A189" s="5"/>
    </row>
    <row r="190" spans="1:1" ht="15.75">
      <c r="A190" s="5"/>
    </row>
    <row r="191" spans="1:1" ht="15.75">
      <c r="A191" s="5"/>
    </row>
    <row r="192" spans="1:1" ht="15.75">
      <c r="A192" s="5"/>
    </row>
    <row r="193" spans="1:1" ht="15.75">
      <c r="A193" s="5"/>
    </row>
    <row r="194" spans="1:1" ht="15.75">
      <c r="A194" s="5"/>
    </row>
  </sheetData>
  <mergeCells count="367">
    <mergeCell ref="A7:B8"/>
    <mergeCell ref="C7:C8"/>
    <mergeCell ref="D7:E8"/>
    <mergeCell ref="F7:G8"/>
    <mergeCell ref="I7:I8"/>
    <mergeCell ref="A9:B19"/>
    <mergeCell ref="C9:C19"/>
    <mergeCell ref="D9:E10"/>
    <mergeCell ref="F9:G10"/>
    <mergeCell ref="H9:H10"/>
    <mergeCell ref="F14:G14"/>
    <mergeCell ref="D15:E15"/>
    <mergeCell ref="F15:G15"/>
    <mergeCell ref="D16:E16"/>
    <mergeCell ref="F16:G16"/>
    <mergeCell ref="D17:E17"/>
    <mergeCell ref="F17:G17"/>
    <mergeCell ref="I9:I19"/>
    <mergeCell ref="D11:E11"/>
    <mergeCell ref="F11:G11"/>
    <mergeCell ref="D12:E12"/>
    <mergeCell ref="F12:G12"/>
    <mergeCell ref="D13:E13"/>
    <mergeCell ref="F13:G13"/>
    <mergeCell ref="D14:E14"/>
    <mergeCell ref="D18:E18"/>
    <mergeCell ref="F18:G18"/>
    <mergeCell ref="D19:E19"/>
    <mergeCell ref="F19:G19"/>
    <mergeCell ref="A20:B32"/>
    <mergeCell ref="C20:C32"/>
    <mergeCell ref="D20:E20"/>
    <mergeCell ref="F20:G20"/>
    <mergeCell ref="D25:E25"/>
    <mergeCell ref="F25:G25"/>
    <mergeCell ref="I20:I32"/>
    <mergeCell ref="D21:E22"/>
    <mergeCell ref="F21:G21"/>
    <mergeCell ref="F22:G22"/>
    <mergeCell ref="H21:H22"/>
    <mergeCell ref="D23:E23"/>
    <mergeCell ref="F23:G23"/>
    <mergeCell ref="D24:E24"/>
    <mergeCell ref="F24:G24"/>
    <mergeCell ref="D29:E29"/>
    <mergeCell ref="F29:G29"/>
    <mergeCell ref="D30:E30"/>
    <mergeCell ref="F30:G30"/>
    <mergeCell ref="D31:E31"/>
    <mergeCell ref="F31:G31"/>
    <mergeCell ref="D26:E26"/>
    <mergeCell ref="F26:G26"/>
    <mergeCell ref="D27:E27"/>
    <mergeCell ref="F27:G27"/>
    <mergeCell ref="D28:E28"/>
    <mergeCell ref="F28:G28"/>
    <mergeCell ref="D32:E32"/>
    <mergeCell ref="F32:G32"/>
    <mergeCell ref="H33:H34"/>
    <mergeCell ref="I33:I47"/>
    <mergeCell ref="D35:E35"/>
    <mergeCell ref="F35:G35"/>
    <mergeCell ref="D36:E36"/>
    <mergeCell ref="F36:G36"/>
    <mergeCell ref="D37:E38"/>
    <mergeCell ref="F37:G38"/>
    <mergeCell ref="H37:H38"/>
    <mergeCell ref="D39:E39"/>
    <mergeCell ref="D44:E44"/>
    <mergeCell ref="F44:G44"/>
    <mergeCell ref="D45:E45"/>
    <mergeCell ref="F45:G45"/>
    <mergeCell ref="D46:E46"/>
    <mergeCell ref="F46:G46"/>
    <mergeCell ref="F40:G40"/>
    <mergeCell ref="D41:E41"/>
    <mergeCell ref="F41:G41"/>
    <mergeCell ref="D42:E42"/>
    <mergeCell ref="F42:G42"/>
    <mergeCell ref="D43:E43"/>
    <mergeCell ref="F43:G43"/>
    <mergeCell ref="D47:E47"/>
    <mergeCell ref="F47:G47"/>
    <mergeCell ref="A48:B62"/>
    <mergeCell ref="C48:C62"/>
    <mergeCell ref="D48:E49"/>
    <mergeCell ref="F48:G48"/>
    <mergeCell ref="F49:G49"/>
    <mergeCell ref="F54:G54"/>
    <mergeCell ref="D55:E55"/>
    <mergeCell ref="F62:G62"/>
    <mergeCell ref="A33:B47"/>
    <mergeCell ref="C33:C47"/>
    <mergeCell ref="D33:E34"/>
    <mergeCell ref="F33:G33"/>
    <mergeCell ref="F34:G34"/>
    <mergeCell ref="F39:G39"/>
    <mergeCell ref="D40:E40"/>
    <mergeCell ref="H48:H49"/>
    <mergeCell ref="I48:I62"/>
    <mergeCell ref="D50:E50"/>
    <mergeCell ref="F50:G50"/>
    <mergeCell ref="D51:E51"/>
    <mergeCell ref="F51:G51"/>
    <mergeCell ref="D52:E53"/>
    <mergeCell ref="F52:G53"/>
    <mergeCell ref="H52:H53"/>
    <mergeCell ref="D54:E54"/>
    <mergeCell ref="D59:E59"/>
    <mergeCell ref="F59:G59"/>
    <mergeCell ref="D60:E60"/>
    <mergeCell ref="F60:G60"/>
    <mergeCell ref="D61:E61"/>
    <mergeCell ref="F61:G61"/>
    <mergeCell ref="F55:G55"/>
    <mergeCell ref="D56:E56"/>
    <mergeCell ref="F56:G56"/>
    <mergeCell ref="D57:E57"/>
    <mergeCell ref="F57:G57"/>
    <mergeCell ref="D58:E58"/>
    <mergeCell ref="F58:G58"/>
    <mergeCell ref="D62:E62"/>
    <mergeCell ref="A63:B75"/>
    <mergeCell ref="C63:C75"/>
    <mergeCell ref="D63:E64"/>
    <mergeCell ref="F63:G63"/>
    <mergeCell ref="F64:G64"/>
    <mergeCell ref="F69:G69"/>
    <mergeCell ref="D70:E70"/>
    <mergeCell ref="F70:G70"/>
    <mergeCell ref="D71:E71"/>
    <mergeCell ref="F71:G71"/>
    <mergeCell ref="D72:E72"/>
    <mergeCell ref="F72:G72"/>
    <mergeCell ref="D73:E73"/>
    <mergeCell ref="F73:G73"/>
    <mergeCell ref="H63:H64"/>
    <mergeCell ref="I63:I75"/>
    <mergeCell ref="D65:E65"/>
    <mergeCell ref="F65:G65"/>
    <mergeCell ref="D66:E67"/>
    <mergeCell ref="F66:G67"/>
    <mergeCell ref="H66:H67"/>
    <mergeCell ref="D68:E68"/>
    <mergeCell ref="F68:G68"/>
    <mergeCell ref="D69:E69"/>
    <mergeCell ref="D74:E74"/>
    <mergeCell ref="F74:G74"/>
    <mergeCell ref="D75:E75"/>
    <mergeCell ref="F75:G75"/>
    <mergeCell ref="A76:B89"/>
    <mergeCell ref="C76:C89"/>
    <mergeCell ref="D76:E76"/>
    <mergeCell ref="F76:G76"/>
    <mergeCell ref="D85:E85"/>
    <mergeCell ref="F85:G85"/>
    <mergeCell ref="D82:E82"/>
    <mergeCell ref="F82:G82"/>
    <mergeCell ref="D83:E83"/>
    <mergeCell ref="F83:G83"/>
    <mergeCell ref="D84:E84"/>
    <mergeCell ref="F84:G84"/>
    <mergeCell ref="I76:I89"/>
    <mergeCell ref="D77:E78"/>
    <mergeCell ref="F77:G77"/>
    <mergeCell ref="F78:G78"/>
    <mergeCell ref="H77:H78"/>
    <mergeCell ref="D79:E79"/>
    <mergeCell ref="F79:G79"/>
    <mergeCell ref="D80:E81"/>
    <mergeCell ref="F80:G81"/>
    <mergeCell ref="H80:H81"/>
    <mergeCell ref="A100:B110"/>
    <mergeCell ref="C100:C110"/>
    <mergeCell ref="D100:E102"/>
    <mergeCell ref="F100:G100"/>
    <mergeCell ref="F101:G101"/>
    <mergeCell ref="F102:G102"/>
    <mergeCell ref="H100:H102"/>
    <mergeCell ref="D108:E108"/>
    <mergeCell ref="F98:G98"/>
    <mergeCell ref="F99:G99"/>
    <mergeCell ref="D98:E98"/>
    <mergeCell ref="F108:G108"/>
    <mergeCell ref="D109:E109"/>
    <mergeCell ref="F109:G109"/>
    <mergeCell ref="D110:E110"/>
    <mergeCell ref="F110:G110"/>
    <mergeCell ref="I100:I110"/>
    <mergeCell ref="D103:E103"/>
    <mergeCell ref="F103:G103"/>
    <mergeCell ref="D104:E105"/>
    <mergeCell ref="F104:G105"/>
    <mergeCell ref="H104:H105"/>
    <mergeCell ref="D106:E106"/>
    <mergeCell ref="F106:G106"/>
    <mergeCell ref="D107:E107"/>
    <mergeCell ref="F107:G107"/>
    <mergeCell ref="I111:I121"/>
    <mergeCell ref="D113:E113"/>
    <mergeCell ref="F113:G113"/>
    <mergeCell ref="D114:E115"/>
    <mergeCell ref="F114:G115"/>
    <mergeCell ref="H114:H115"/>
    <mergeCell ref="D116:E116"/>
    <mergeCell ref="F116:G116"/>
    <mergeCell ref="D117:E117"/>
    <mergeCell ref="F117:G117"/>
    <mergeCell ref="D111:E112"/>
    <mergeCell ref="F111:G111"/>
    <mergeCell ref="F112:G112"/>
    <mergeCell ref="H111:H112"/>
    <mergeCell ref="D118:E118"/>
    <mergeCell ref="F118:G118"/>
    <mergeCell ref="D119:E119"/>
    <mergeCell ref="F119:G119"/>
    <mergeCell ref="D120:E120"/>
    <mergeCell ref="F120:G120"/>
    <mergeCell ref="D121:E121"/>
    <mergeCell ref="F121:G121"/>
    <mergeCell ref="A122:B134"/>
    <mergeCell ref="C122:C134"/>
    <mergeCell ref="D122:E124"/>
    <mergeCell ref="F122:G122"/>
    <mergeCell ref="F123:G123"/>
    <mergeCell ref="F124:G124"/>
    <mergeCell ref="A111:B121"/>
    <mergeCell ref="C111:C121"/>
    <mergeCell ref="F129:G129"/>
    <mergeCell ref="D130:E130"/>
    <mergeCell ref="F130:G130"/>
    <mergeCell ref="D131:E131"/>
    <mergeCell ref="F131:G131"/>
    <mergeCell ref="D132:E132"/>
    <mergeCell ref="F132:G132"/>
    <mergeCell ref="H122:H124"/>
    <mergeCell ref="I122:I134"/>
    <mergeCell ref="D125:E125"/>
    <mergeCell ref="F125:G125"/>
    <mergeCell ref="D126:E127"/>
    <mergeCell ref="F126:G127"/>
    <mergeCell ref="H126:H127"/>
    <mergeCell ref="D128:E128"/>
    <mergeCell ref="F128:G128"/>
    <mergeCell ref="D129:E129"/>
    <mergeCell ref="I135:I147"/>
    <mergeCell ref="D137:E137"/>
    <mergeCell ref="F137:G137"/>
    <mergeCell ref="D138:E139"/>
    <mergeCell ref="F138:G139"/>
    <mergeCell ref="H138:H139"/>
    <mergeCell ref="D140:E140"/>
    <mergeCell ref="F140:G140"/>
    <mergeCell ref="D133:E133"/>
    <mergeCell ref="F133:G133"/>
    <mergeCell ref="D134:E134"/>
    <mergeCell ref="F134:G134"/>
    <mergeCell ref="D135:E136"/>
    <mergeCell ref="F135:G135"/>
    <mergeCell ref="F136:G136"/>
    <mergeCell ref="D145:E145"/>
    <mergeCell ref="F145:G145"/>
    <mergeCell ref="D141:E141"/>
    <mergeCell ref="F141:G141"/>
    <mergeCell ref="D143:E143"/>
    <mergeCell ref="F143:G143"/>
    <mergeCell ref="D144:E144"/>
    <mergeCell ref="F144:G144"/>
    <mergeCell ref="H135:H136"/>
    <mergeCell ref="D146:E146"/>
    <mergeCell ref="F146:G146"/>
    <mergeCell ref="D147:E147"/>
    <mergeCell ref="F147:G147"/>
    <mergeCell ref="A148:B163"/>
    <mergeCell ref="C148:C163"/>
    <mergeCell ref="D148:E149"/>
    <mergeCell ref="F148:G148"/>
    <mergeCell ref="F149:G149"/>
    <mergeCell ref="A135:B147"/>
    <mergeCell ref="C135:C147"/>
    <mergeCell ref="D154:E154"/>
    <mergeCell ref="F154:G154"/>
    <mergeCell ref="D155:E155"/>
    <mergeCell ref="F155:G155"/>
    <mergeCell ref="D156:E156"/>
    <mergeCell ref="F156:G156"/>
    <mergeCell ref="D142:E142"/>
    <mergeCell ref="F142:G142"/>
    <mergeCell ref="D157:E157"/>
    <mergeCell ref="F157:G157"/>
    <mergeCell ref="D158:E158"/>
    <mergeCell ref="F158:G158"/>
    <mergeCell ref="D159:E159"/>
    <mergeCell ref="H148:H149"/>
    <mergeCell ref="D150:E150"/>
    <mergeCell ref="F150:G150"/>
    <mergeCell ref="D151:E151"/>
    <mergeCell ref="F151:G151"/>
    <mergeCell ref="D152:E153"/>
    <mergeCell ref="F152:G153"/>
    <mergeCell ref="H152:H153"/>
    <mergeCell ref="A164:B174"/>
    <mergeCell ref="C164:C174"/>
    <mergeCell ref="D164:E164"/>
    <mergeCell ref="F164:G164"/>
    <mergeCell ref="D173:E173"/>
    <mergeCell ref="F173:G173"/>
    <mergeCell ref="D174:E174"/>
    <mergeCell ref="F174:G174"/>
    <mergeCell ref="D160:E160"/>
    <mergeCell ref="F160:G160"/>
    <mergeCell ref="D161:E161"/>
    <mergeCell ref="F161:G161"/>
    <mergeCell ref="D162:E162"/>
    <mergeCell ref="F162:G162"/>
    <mergeCell ref="D163:E163"/>
    <mergeCell ref="F163:G163"/>
    <mergeCell ref="I164:I174"/>
    <mergeCell ref="D166:E166"/>
    <mergeCell ref="F166:G166"/>
    <mergeCell ref="D167:E168"/>
    <mergeCell ref="F167:G168"/>
    <mergeCell ref="H167:H168"/>
    <mergeCell ref="D170:E170"/>
    <mergeCell ref="F170:G170"/>
    <mergeCell ref="D171:E171"/>
    <mergeCell ref="F171:G171"/>
    <mergeCell ref="D165:E165"/>
    <mergeCell ref="F165:G165"/>
    <mergeCell ref="D172:E172"/>
    <mergeCell ref="F172:G172"/>
    <mergeCell ref="D169:E169"/>
    <mergeCell ref="F169:G169"/>
    <mergeCell ref="F93:G93"/>
    <mergeCell ref="D93:E93"/>
    <mergeCell ref="F94:G94"/>
    <mergeCell ref="F95:G95"/>
    <mergeCell ref="F96:G96"/>
    <mergeCell ref="F97:G97"/>
    <mergeCell ref="D94:E94"/>
    <mergeCell ref="D95:E95"/>
    <mergeCell ref="D96:E96"/>
    <mergeCell ref="D97:E97"/>
    <mergeCell ref="F159:G159"/>
    <mergeCell ref="A90:A99"/>
    <mergeCell ref="E2:I2"/>
    <mergeCell ref="E1:F1"/>
    <mergeCell ref="G1:I1"/>
    <mergeCell ref="B90:C99"/>
    <mergeCell ref="A5:I5"/>
    <mergeCell ref="C4:G4"/>
    <mergeCell ref="D99:E99"/>
    <mergeCell ref="H90:H91"/>
    <mergeCell ref="F90:G90"/>
    <mergeCell ref="F91:G91"/>
    <mergeCell ref="D90:E91"/>
    <mergeCell ref="F92:G92"/>
    <mergeCell ref="D92:E92"/>
    <mergeCell ref="I90:I99"/>
    <mergeCell ref="D89:E89"/>
    <mergeCell ref="F89:G89"/>
    <mergeCell ref="D86:E86"/>
    <mergeCell ref="F86:G86"/>
    <mergeCell ref="D87:E87"/>
    <mergeCell ref="F87:G87"/>
    <mergeCell ref="D88:E88"/>
    <mergeCell ref="F88:G88"/>
  </mergeCells>
  <pageMargins left="0.70866141732283472" right="0.70866141732283472" top="0.74803149606299213" bottom="0.74803149606299213" header="0.31496062992125984" footer="0.31496062992125984"/>
  <pageSetup paperSize="9" scale="79" fitToHeight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2012-04-04T07:43:56Z</dcterms:modified>
</cp:coreProperties>
</file>