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1340" windowHeight="6285" firstSheet="15" activeTab="15"/>
  </bookViews>
  <sheets>
    <sheet name="ПАДУ эл. ТР Ильинск" sheetId="45" r:id="rId1"/>
    <sheet name="ЛКИ-1ЭП" sheetId="25" r:id="rId2"/>
    <sheet name="материалы" sheetId="20" r:id="rId3"/>
    <sheet name="ТР-400,500 Верещагино" sheetId="19" r:id="rId4"/>
    <sheet name="ТР-3000 Шатовка" sheetId="5" r:id="rId5"/>
    <sheet name="зимнее вр." sheetId="7" r:id="rId6"/>
    <sheet name="летн. врем." sheetId="6" r:id="rId7"/>
    <sheet name="ТО" sheetId="4" r:id="rId8"/>
    <sheet name="Табл. электрооб." sheetId="38" r:id="rId9"/>
    <sheet name="Табл. установки" sheetId="27" r:id="rId10"/>
    <sheet name="таблица" sheetId="16" r:id="rId11"/>
    <sheet name="9.содержание обслуживание ТСВ" sheetId="56" r:id="rId12"/>
    <sheet name="6.сод. искусственных неровносте" sheetId="55" r:id="rId13"/>
    <sheet name="5.сод. дорожных ограждений" sheetId="54" r:id="rId14"/>
    <sheet name="4.сод. направляющих устройств" sheetId="53" r:id="rId15"/>
    <sheet name="1 сод. ДЗ" sheetId="57" r:id="rId16"/>
  </sheets>
  <externalReferences>
    <externalReference r:id="rId17"/>
    <externalReference r:id="rId18"/>
  </externalReferences>
  <calcPr calcId="145621"/>
</workbook>
</file>

<file path=xl/calcChain.xml><?xml version="1.0" encoding="utf-8"?>
<calcChain xmlns="http://schemas.openxmlformats.org/spreadsheetml/2006/main">
  <c r="H22" i="57" l="1"/>
  <c r="J22" i="57" s="1"/>
  <c r="H21" i="57"/>
  <c r="J21" i="57" s="1"/>
  <c r="H26" i="57"/>
  <c r="J26" i="57" s="1"/>
  <c r="H25" i="57"/>
  <c r="I25" i="57" s="1"/>
  <c r="H24" i="57"/>
  <c r="I24" i="57" s="1"/>
  <c r="H23" i="57"/>
  <c r="J23" i="57" s="1"/>
  <c r="H20" i="57"/>
  <c r="I20" i="57" s="1"/>
  <c r="H19" i="57"/>
  <c r="J19" i="57" s="1"/>
  <c r="H18" i="57"/>
  <c r="I18" i="57" s="1"/>
  <c r="H17" i="57"/>
  <c r="J17" i="57" s="1"/>
  <c r="I10" i="56"/>
  <c r="I8" i="56"/>
  <c r="I7" i="56"/>
  <c r="I6" i="56"/>
  <c r="I10" i="55"/>
  <c r="I8" i="55"/>
  <c r="I7" i="55"/>
  <c r="I6" i="55"/>
  <c r="I7" i="54"/>
  <c r="I11" i="54"/>
  <c r="I9" i="54"/>
  <c r="I8" i="54"/>
  <c r="I6" i="54"/>
  <c r="I11" i="53"/>
  <c r="I9" i="53"/>
  <c r="I8" i="53"/>
  <c r="I7" i="53"/>
  <c r="I6" i="53"/>
  <c r="K10" i="16"/>
  <c r="L10" i="16" s="1"/>
  <c r="C10" i="16" s="1"/>
  <c r="G12" i="16"/>
  <c r="E12" i="16"/>
  <c r="L12" i="16"/>
  <c r="C12" i="16" s="1"/>
  <c r="L13" i="16"/>
  <c r="G15" i="16"/>
  <c r="E15" i="16"/>
  <c r="K15" i="16"/>
  <c r="L15" i="16" s="1"/>
  <c r="C15" i="16" s="1"/>
  <c r="L16" i="16"/>
  <c r="G18" i="16"/>
  <c r="I18" i="16"/>
  <c r="I19" i="16"/>
  <c r="L19" i="16" s="1"/>
  <c r="C19" i="16" s="1"/>
  <c r="L22" i="16"/>
  <c r="K9" i="16"/>
  <c r="G9" i="16"/>
  <c r="G23" i="16" s="1"/>
  <c r="E9" i="16"/>
  <c r="E23" i="16" s="1"/>
  <c r="K21" i="16"/>
  <c r="L21" i="16" s="1"/>
  <c r="C21" i="16" s="1"/>
  <c r="C22" i="16"/>
  <c r="C16" i="16"/>
  <c r="C13" i="16"/>
  <c r="J23" i="16"/>
  <c r="H23" i="16"/>
  <c r="F23" i="16"/>
  <c r="D23" i="16"/>
  <c r="C23" i="16"/>
  <c r="K24" i="45"/>
  <c r="K23" i="45"/>
  <c r="G9" i="45"/>
  <c r="G10" i="45"/>
  <c r="G11" i="45"/>
  <c r="G12" i="45"/>
  <c r="G13" i="45"/>
  <c r="I13" i="45" s="1"/>
  <c r="G14" i="45"/>
  <c r="G15" i="45"/>
  <c r="G16" i="45"/>
  <c r="G17" i="45"/>
  <c r="G18" i="45" s="1"/>
  <c r="H18" i="45" s="1"/>
  <c r="I18" i="45" s="1"/>
  <c r="J18" i="45"/>
  <c r="I15" i="45"/>
  <c r="H15" i="45"/>
  <c r="J15" i="45"/>
  <c r="H13" i="45"/>
  <c r="J13" i="45"/>
  <c r="I14" i="45"/>
  <c r="J14" i="45" s="1"/>
  <c r="H14" i="45"/>
  <c r="M18" i="45"/>
  <c r="H9" i="45"/>
  <c r="H10" i="45"/>
  <c r="H11" i="45"/>
  <c r="H12" i="45"/>
  <c r="I16" i="45"/>
  <c r="J16" i="45" s="1"/>
  <c r="H16" i="45"/>
  <c r="N12" i="27"/>
  <c r="C12" i="27" s="1"/>
  <c r="N9" i="27"/>
  <c r="N15" i="27"/>
  <c r="C15" i="27" s="1"/>
  <c r="N10" i="38"/>
  <c r="N16" i="38"/>
  <c r="N13" i="38"/>
  <c r="N9" i="38"/>
  <c r="N12" i="38"/>
  <c r="N15" i="38"/>
  <c r="N17" i="38" s="1"/>
  <c r="M17" i="38"/>
  <c r="K17" i="38"/>
  <c r="I17" i="38"/>
  <c r="G17" i="38"/>
  <c r="E17" i="38"/>
  <c r="C17" i="38"/>
  <c r="C17" i="27"/>
  <c r="H10" i="25"/>
  <c r="H11" i="25"/>
  <c r="H12" i="25"/>
  <c r="H13" i="25"/>
  <c r="I13" i="25" s="1"/>
  <c r="H14" i="25"/>
  <c r="H15" i="25"/>
  <c r="H16" i="25"/>
  <c r="H17" i="25"/>
  <c r="I17" i="25" s="1"/>
  <c r="G18" i="25"/>
  <c r="H18" i="25" s="1"/>
  <c r="J18" i="25" s="1"/>
  <c r="M17" i="27"/>
  <c r="K17" i="27"/>
  <c r="I17" i="27"/>
  <c r="E17" i="27"/>
  <c r="G17" i="27"/>
  <c r="N16" i="27"/>
  <c r="C16" i="27" s="1"/>
  <c r="N13" i="27"/>
  <c r="C13" i="27" s="1"/>
  <c r="N10" i="27"/>
  <c r="C10" i="27" s="1"/>
  <c r="L25" i="25"/>
  <c r="I10" i="25"/>
  <c r="I11" i="25"/>
  <c r="I12" i="25"/>
  <c r="I14" i="25"/>
  <c r="I15" i="25"/>
  <c r="I16" i="25"/>
  <c r="I18" i="25"/>
  <c r="K18" i="25" s="1"/>
  <c r="L18" i="25" s="1"/>
  <c r="G16" i="19"/>
  <c r="H16" i="19" s="1"/>
  <c r="G20" i="19"/>
  <c r="G22" i="19"/>
  <c r="G23" i="19"/>
  <c r="H23" i="19" s="1"/>
  <c r="I23" i="19" s="1"/>
  <c r="G24" i="19"/>
  <c r="G25" i="19" s="1"/>
  <c r="H25" i="19" s="1"/>
  <c r="I25" i="19" s="1"/>
  <c r="L26" i="25"/>
  <c r="K31" i="19"/>
  <c r="K30" i="19"/>
  <c r="H10" i="19"/>
  <c r="H11" i="19"/>
  <c r="J11" i="19"/>
  <c r="H12" i="19"/>
  <c r="J12" i="19" s="1"/>
  <c r="H13" i="19"/>
  <c r="J13" i="19"/>
  <c r="H14" i="19"/>
  <c r="H15" i="19"/>
  <c r="J15" i="19"/>
  <c r="H17" i="19"/>
  <c r="J17" i="19"/>
  <c r="K17" i="19" s="1"/>
  <c r="H18" i="19"/>
  <c r="H19" i="19"/>
  <c r="J19" i="19"/>
  <c r="H20" i="19"/>
  <c r="J20" i="19" s="1"/>
  <c r="H21" i="19"/>
  <c r="J21" i="19"/>
  <c r="H22" i="19"/>
  <c r="J23" i="19"/>
  <c r="K23" i="19" s="1"/>
  <c r="I11" i="19"/>
  <c r="I13" i="19"/>
  <c r="I15" i="19"/>
  <c r="I17" i="19"/>
  <c r="I19" i="19"/>
  <c r="I21" i="19"/>
  <c r="K29" i="5"/>
  <c r="G21" i="5"/>
  <c r="G22" i="5"/>
  <c r="G23" i="5"/>
  <c r="G24" i="5"/>
  <c r="H9" i="5"/>
  <c r="J9" i="5"/>
  <c r="H10" i="5"/>
  <c r="H11" i="5"/>
  <c r="J11" i="5"/>
  <c r="K11" i="5" s="1"/>
  <c r="H12" i="5"/>
  <c r="H13" i="5"/>
  <c r="J13" i="5"/>
  <c r="H14" i="5"/>
  <c r="J14" i="5" s="1"/>
  <c r="H15" i="5"/>
  <c r="J15" i="5"/>
  <c r="K15" i="5" s="1"/>
  <c r="H16" i="5"/>
  <c r="H17" i="5"/>
  <c r="J17" i="5"/>
  <c r="H18" i="5"/>
  <c r="J18" i="5" s="1"/>
  <c r="H19" i="5"/>
  <c r="J19" i="5"/>
  <c r="K19" i="5" s="1"/>
  <c r="H20" i="5"/>
  <c r="H21" i="5"/>
  <c r="J21" i="5"/>
  <c r="H22" i="5"/>
  <c r="J22" i="5" s="1"/>
  <c r="I9" i="5"/>
  <c r="K9" i="5" s="1"/>
  <c r="I10" i="5"/>
  <c r="I11" i="5"/>
  <c r="I13" i="5"/>
  <c r="I14" i="5"/>
  <c r="I15" i="5"/>
  <c r="I17" i="5"/>
  <c r="K17" i="5" s="1"/>
  <c r="I19" i="5"/>
  <c r="I21" i="5"/>
  <c r="I22" i="5"/>
  <c r="G21" i="20"/>
  <c r="G11" i="20"/>
  <c r="G26" i="20"/>
  <c r="G27" i="20"/>
  <c r="G22" i="20"/>
  <c r="G18" i="20"/>
  <c r="G13" i="20"/>
  <c r="G14" i="20"/>
  <c r="G19" i="20"/>
  <c r="G4" i="20"/>
  <c r="G5" i="20"/>
  <c r="G6" i="20"/>
  <c r="G7" i="20"/>
  <c r="E8" i="20"/>
  <c r="G8" i="20" s="1"/>
  <c r="G28" i="20" s="1"/>
  <c r="G9" i="20"/>
  <c r="G10" i="20"/>
  <c r="G12" i="20"/>
  <c r="G15" i="20"/>
  <c r="G16" i="20"/>
  <c r="G17" i="20"/>
  <c r="G20" i="20"/>
  <c r="G23" i="20"/>
  <c r="G24" i="20"/>
  <c r="G25" i="20"/>
  <c r="K19" i="19"/>
  <c r="K15" i="19"/>
  <c r="K11" i="19"/>
  <c r="K21" i="5"/>
  <c r="K13" i="5"/>
  <c r="H9" i="7"/>
  <c r="I9" i="7" s="1"/>
  <c r="L9" i="7" s="1"/>
  <c r="H10" i="7"/>
  <c r="H11" i="7"/>
  <c r="H13" i="7"/>
  <c r="H16" i="7"/>
  <c r="I16" i="7" s="1"/>
  <c r="L16" i="7" s="1"/>
  <c r="H18" i="7"/>
  <c r="H20" i="7"/>
  <c r="H21" i="7"/>
  <c r="H22" i="7"/>
  <c r="I22" i="7" s="1"/>
  <c r="L22" i="7" s="1"/>
  <c r="H23" i="7"/>
  <c r="H25" i="7"/>
  <c r="H27" i="7"/>
  <c r="I27" i="7" s="1"/>
  <c r="H28" i="7"/>
  <c r="I28" i="7" s="1"/>
  <c r="L28" i="7" s="1"/>
  <c r="H30" i="7"/>
  <c r="H32" i="7"/>
  <c r="H34" i="7"/>
  <c r="H36" i="7"/>
  <c r="I36" i="7" s="1"/>
  <c r="L36" i="7" s="1"/>
  <c r="H38" i="7"/>
  <c r="H39" i="7"/>
  <c r="H40" i="7"/>
  <c r="H41" i="7"/>
  <c r="I41" i="7" s="1"/>
  <c r="L41" i="7" s="1"/>
  <c r="H42" i="7"/>
  <c r="H44" i="7"/>
  <c r="H49" i="7"/>
  <c r="I49" i="7" s="1"/>
  <c r="L49" i="7" s="1"/>
  <c r="H53" i="7"/>
  <c r="J51" i="7"/>
  <c r="K51" i="7"/>
  <c r="L51" i="7"/>
  <c r="J49" i="7"/>
  <c r="K49" i="7"/>
  <c r="J47" i="7"/>
  <c r="K47" i="7"/>
  <c r="L47" i="7"/>
  <c r="I46" i="7"/>
  <c r="I44" i="7"/>
  <c r="L44" i="7"/>
  <c r="I42" i="7"/>
  <c r="J42" i="7" s="1"/>
  <c r="K42" i="7"/>
  <c r="L42" i="7"/>
  <c r="I40" i="7"/>
  <c r="J40" i="7"/>
  <c r="I39" i="7"/>
  <c r="L39" i="7"/>
  <c r="I38" i="7"/>
  <c r="J38" i="7" s="1"/>
  <c r="K38" i="7"/>
  <c r="L38" i="7"/>
  <c r="J36" i="7"/>
  <c r="I34" i="7"/>
  <c r="J34" i="7"/>
  <c r="I32" i="7"/>
  <c r="L32" i="7"/>
  <c r="I30" i="7"/>
  <c r="J30" i="7" s="1"/>
  <c r="M30" i="7" s="1"/>
  <c r="K30" i="7"/>
  <c r="L30" i="7"/>
  <c r="J28" i="7"/>
  <c r="K28" i="7"/>
  <c r="I25" i="7"/>
  <c r="I23" i="7"/>
  <c r="J23" i="7" s="1"/>
  <c r="K23" i="7"/>
  <c r="L23" i="7"/>
  <c r="K22" i="7"/>
  <c r="I21" i="7"/>
  <c r="I20" i="7"/>
  <c r="L20" i="7"/>
  <c r="I18" i="7"/>
  <c r="J18" i="7" s="1"/>
  <c r="K18" i="7"/>
  <c r="L18" i="7"/>
  <c r="I13" i="7"/>
  <c r="J13" i="7"/>
  <c r="I11" i="7"/>
  <c r="L11" i="7"/>
  <c r="I10" i="7"/>
  <c r="J10" i="7" s="1"/>
  <c r="K10" i="7"/>
  <c r="L10" i="7"/>
  <c r="J9" i="7"/>
  <c r="H9" i="6"/>
  <c r="H10" i="6"/>
  <c r="H53" i="6" s="1"/>
  <c r="H11" i="6"/>
  <c r="I11" i="6" s="1"/>
  <c r="H13" i="6"/>
  <c r="H16" i="6"/>
  <c r="H18" i="6"/>
  <c r="I18" i="6" s="1"/>
  <c r="H20" i="6"/>
  <c r="I20" i="6" s="1"/>
  <c r="H21" i="6"/>
  <c r="H22" i="6"/>
  <c r="H23" i="6"/>
  <c r="I23" i="6" s="1"/>
  <c r="H25" i="6"/>
  <c r="I25" i="6" s="1"/>
  <c r="H27" i="6"/>
  <c r="H28" i="6"/>
  <c r="H30" i="6"/>
  <c r="I30" i="6" s="1"/>
  <c r="H32" i="6"/>
  <c r="I32" i="6" s="1"/>
  <c r="H34" i="6"/>
  <c r="H36" i="6"/>
  <c r="H38" i="6"/>
  <c r="I38" i="6" s="1"/>
  <c r="H39" i="6"/>
  <c r="I39" i="6" s="1"/>
  <c r="H40" i="6"/>
  <c r="H41" i="6"/>
  <c r="H42" i="6"/>
  <c r="I42" i="6" s="1"/>
  <c r="H44" i="6"/>
  <c r="I44" i="6" s="1"/>
  <c r="H49" i="6"/>
  <c r="I49" i="6"/>
  <c r="J49" i="6" s="1"/>
  <c r="I46" i="6"/>
  <c r="K46" i="6" s="1"/>
  <c r="I41" i="6"/>
  <c r="K41" i="6" s="1"/>
  <c r="I40" i="6"/>
  <c r="K40" i="6" s="1"/>
  <c r="I36" i="6"/>
  <c r="J36" i="6" s="1"/>
  <c r="I34" i="6"/>
  <c r="J34" i="6" s="1"/>
  <c r="I28" i="6"/>
  <c r="J28" i="6" s="1"/>
  <c r="I27" i="6"/>
  <c r="J27" i="6" s="1"/>
  <c r="I22" i="6"/>
  <c r="J22" i="6" s="1"/>
  <c r="I21" i="6"/>
  <c r="J21" i="6" s="1"/>
  <c r="I16" i="6"/>
  <c r="J16" i="6" s="1"/>
  <c r="I13" i="6"/>
  <c r="J13" i="6" s="1"/>
  <c r="J46" i="6"/>
  <c r="J41" i="6"/>
  <c r="J40" i="6"/>
  <c r="I9" i="6"/>
  <c r="J9" i="6" s="1"/>
  <c r="L16" i="6"/>
  <c r="L22" i="6"/>
  <c r="L28" i="6"/>
  <c r="L36" i="6"/>
  <c r="J47" i="6"/>
  <c r="K47" i="6"/>
  <c r="L47" i="6"/>
  <c r="M47" i="6"/>
  <c r="L49" i="6"/>
  <c r="J51" i="6"/>
  <c r="K51" i="6"/>
  <c r="L51" i="6"/>
  <c r="M51" i="6"/>
  <c r="H48" i="4"/>
  <c r="H50" i="4"/>
  <c r="G29" i="4"/>
  <c r="G31" i="4"/>
  <c r="G32" i="4"/>
  <c r="G34" i="4"/>
  <c r="G35" i="4"/>
  <c r="G36" i="4"/>
  <c r="G38" i="4"/>
  <c r="G43" i="4"/>
  <c r="M34" i="6" l="1"/>
  <c r="K39" i="6"/>
  <c r="L39" i="6"/>
  <c r="J39" i="6"/>
  <c r="M39" i="6" s="1"/>
  <c r="J25" i="6"/>
  <c r="M25" i="6" s="1"/>
  <c r="K25" i="6"/>
  <c r="L25" i="6"/>
  <c r="L11" i="6"/>
  <c r="J11" i="6"/>
  <c r="M11" i="6" s="1"/>
  <c r="K11" i="6"/>
  <c r="I53" i="6"/>
  <c r="H54" i="6"/>
  <c r="K17" i="25"/>
  <c r="J17" i="25"/>
  <c r="K13" i="25"/>
  <c r="L13" i="25" s="1"/>
  <c r="J13" i="25"/>
  <c r="K27" i="7"/>
  <c r="L27" i="7"/>
  <c r="J27" i="7"/>
  <c r="I19" i="25"/>
  <c r="K44" i="6"/>
  <c r="L44" i="6"/>
  <c r="J44" i="6"/>
  <c r="J32" i="6"/>
  <c r="K32" i="6"/>
  <c r="L32" i="6"/>
  <c r="J20" i="6"/>
  <c r="K20" i="6"/>
  <c r="L20" i="6"/>
  <c r="K42" i="6"/>
  <c r="L42" i="6"/>
  <c r="J42" i="6"/>
  <c r="M42" i="6" s="1"/>
  <c r="J38" i="6"/>
  <c r="K38" i="6"/>
  <c r="L38" i="6"/>
  <c r="J30" i="6"/>
  <c r="M30" i="6" s="1"/>
  <c r="K30" i="6"/>
  <c r="L30" i="6"/>
  <c r="J23" i="6"/>
  <c r="K23" i="6"/>
  <c r="L23" i="6"/>
  <c r="J18" i="6"/>
  <c r="K18" i="6"/>
  <c r="L18" i="6"/>
  <c r="G47" i="4"/>
  <c r="G48" i="4" s="1"/>
  <c r="J16" i="19"/>
  <c r="K16" i="19" s="1"/>
  <c r="H24" i="19"/>
  <c r="I16" i="19"/>
  <c r="K46" i="7"/>
  <c r="L46" i="7"/>
  <c r="J16" i="5"/>
  <c r="K16" i="5" s="1"/>
  <c r="I16" i="5"/>
  <c r="K14" i="25"/>
  <c r="L14" i="25" s="1"/>
  <c r="J14" i="25"/>
  <c r="J9" i="45"/>
  <c r="I9" i="45"/>
  <c r="K18" i="45"/>
  <c r="K21" i="45" s="1"/>
  <c r="K22" i="45" s="1"/>
  <c r="K25" i="45" s="1"/>
  <c r="K26" i="45" s="1"/>
  <c r="L34" i="6"/>
  <c r="L21" i="6"/>
  <c r="L13" i="6"/>
  <c r="L27" i="6"/>
  <c r="L9" i="6"/>
  <c r="K13" i="7"/>
  <c r="M13" i="7" s="1"/>
  <c r="L13" i="7"/>
  <c r="J20" i="7"/>
  <c r="M20" i="7" s="1"/>
  <c r="K20" i="7"/>
  <c r="M23" i="7"/>
  <c r="K40" i="7"/>
  <c r="M40" i="7" s="1"/>
  <c r="L40" i="7"/>
  <c r="J44" i="7"/>
  <c r="M44" i="7" s="1"/>
  <c r="K44" i="7"/>
  <c r="M49" i="7"/>
  <c r="K18" i="5"/>
  <c r="I12" i="19"/>
  <c r="K12" i="19" s="1"/>
  <c r="J22" i="19"/>
  <c r="I22" i="19"/>
  <c r="J14" i="19"/>
  <c r="K14" i="19" s="1"/>
  <c r="I14" i="19"/>
  <c r="L18" i="16"/>
  <c r="C18" i="16" s="1"/>
  <c r="I23" i="16"/>
  <c r="K49" i="6"/>
  <c r="M49" i="6" s="1"/>
  <c r="K34" i="6"/>
  <c r="K27" i="6"/>
  <c r="K9" i="6"/>
  <c r="M9" i="6" s="1"/>
  <c r="L40" i="6"/>
  <c r="M40" i="6" s="1"/>
  <c r="K16" i="7"/>
  <c r="K34" i="7"/>
  <c r="L34" i="7"/>
  <c r="J39" i="7"/>
  <c r="M39" i="7" s="1"/>
  <c r="K39" i="7"/>
  <c r="K41" i="7"/>
  <c r="J25" i="19"/>
  <c r="J20" i="5"/>
  <c r="K20" i="5" s="1"/>
  <c r="I20" i="5"/>
  <c r="J12" i="5"/>
  <c r="I12" i="5"/>
  <c r="J23" i="5"/>
  <c r="K21" i="19"/>
  <c r="K13" i="19"/>
  <c r="K15" i="25"/>
  <c r="L15" i="25" s="1"/>
  <c r="J15" i="25"/>
  <c r="K11" i="25"/>
  <c r="J11" i="25"/>
  <c r="J12" i="45"/>
  <c r="K12" i="45" s="1"/>
  <c r="I12" i="45"/>
  <c r="J10" i="45"/>
  <c r="I10" i="45"/>
  <c r="M9" i="7"/>
  <c r="K21" i="7"/>
  <c r="L21" i="7"/>
  <c r="J25" i="7"/>
  <c r="K25" i="7"/>
  <c r="M25" i="5"/>
  <c r="H24" i="5"/>
  <c r="K16" i="25"/>
  <c r="L16" i="25" s="1"/>
  <c r="J16" i="25"/>
  <c r="K12" i="25"/>
  <c r="J12" i="25"/>
  <c r="K10" i="25"/>
  <c r="J10" i="25"/>
  <c r="J11" i="45"/>
  <c r="I11" i="45"/>
  <c r="M28" i="7"/>
  <c r="I53" i="7"/>
  <c r="H54" i="7"/>
  <c r="J10" i="5"/>
  <c r="K10" i="5" s="1"/>
  <c r="H23" i="5"/>
  <c r="M27" i="19"/>
  <c r="K36" i="6"/>
  <c r="M36" i="6" s="1"/>
  <c r="K28" i="6"/>
  <c r="M28" i="6" s="1"/>
  <c r="K22" i="6"/>
  <c r="M22" i="6" s="1"/>
  <c r="K21" i="6"/>
  <c r="M21" i="6" s="1"/>
  <c r="K16" i="6"/>
  <c r="M16" i="6" s="1"/>
  <c r="K13" i="6"/>
  <c r="M13" i="6" s="1"/>
  <c r="L41" i="6"/>
  <c r="M41" i="6" s="1"/>
  <c r="L46" i="6"/>
  <c r="M46" i="6" s="1"/>
  <c r="I10" i="6"/>
  <c r="J11" i="7"/>
  <c r="K11" i="7"/>
  <c r="M18" i="7"/>
  <c r="J22" i="7"/>
  <c r="M22" i="7" s="1"/>
  <c r="M42" i="7"/>
  <c r="I23" i="5"/>
  <c r="K9" i="7"/>
  <c r="M10" i="7"/>
  <c r="J16" i="7"/>
  <c r="M16" i="7" s="1"/>
  <c r="J21" i="7"/>
  <c r="M21" i="7" s="1"/>
  <c r="L25" i="7"/>
  <c r="J32" i="7"/>
  <c r="K32" i="7"/>
  <c r="K36" i="7"/>
  <c r="M36" i="7" s="1"/>
  <c r="M38" i="7"/>
  <c r="J41" i="7"/>
  <c r="M41" i="7" s="1"/>
  <c r="J46" i="7"/>
  <c r="M47" i="7"/>
  <c r="M51" i="7"/>
  <c r="I18" i="5"/>
  <c r="K22" i="5"/>
  <c r="K14" i="5"/>
  <c r="I20" i="19"/>
  <c r="K20" i="19" s="1"/>
  <c r="J18" i="19"/>
  <c r="I18" i="19"/>
  <c r="J10" i="19"/>
  <c r="I10" i="19"/>
  <c r="H19" i="25"/>
  <c r="H20" i="25" s="1"/>
  <c r="C9" i="27"/>
  <c r="N17" i="27"/>
  <c r="H17" i="45"/>
  <c r="L9" i="16"/>
  <c r="H27" i="57"/>
  <c r="I22" i="57"/>
  <c r="I23" i="57"/>
  <c r="I17" i="57"/>
  <c r="J18" i="57"/>
  <c r="I19" i="57"/>
  <c r="J20" i="57"/>
  <c r="I21" i="57"/>
  <c r="J24" i="57"/>
  <c r="J25" i="57"/>
  <c r="I26" i="57"/>
  <c r="L23" i="16"/>
  <c r="C9" i="16"/>
  <c r="K23" i="16"/>
  <c r="K10" i="19" l="1"/>
  <c r="J24" i="19"/>
  <c r="K19" i="25"/>
  <c r="L10" i="25"/>
  <c r="K23" i="5"/>
  <c r="K24" i="5" s="1"/>
  <c r="M11" i="7"/>
  <c r="J24" i="5"/>
  <c r="I24" i="5"/>
  <c r="M23" i="6"/>
  <c r="M32" i="6"/>
  <c r="K53" i="6"/>
  <c r="J53" i="6"/>
  <c r="M53" i="6" s="1"/>
  <c r="M54" i="6" s="1"/>
  <c r="L53" i="6"/>
  <c r="N20" i="25"/>
  <c r="I20" i="25"/>
  <c r="K18" i="19"/>
  <c r="M32" i="7"/>
  <c r="J10" i="6"/>
  <c r="L10" i="6"/>
  <c r="K10" i="6"/>
  <c r="K11" i="45"/>
  <c r="L12" i="25"/>
  <c r="K10" i="45"/>
  <c r="L11" i="25"/>
  <c r="K12" i="5"/>
  <c r="M34" i="7"/>
  <c r="M27" i="6"/>
  <c r="K22" i="19"/>
  <c r="J17" i="45"/>
  <c r="K9" i="45"/>
  <c r="M18" i="6"/>
  <c r="M20" i="6"/>
  <c r="M44" i="6"/>
  <c r="L17" i="25"/>
  <c r="J27" i="57"/>
  <c r="J28" i="57" s="1"/>
  <c r="J29" i="57" s="1"/>
  <c r="J30" i="57" s="1"/>
  <c r="J31" i="57" s="1"/>
  <c r="M46" i="7"/>
  <c r="M25" i="7"/>
  <c r="I17" i="45"/>
  <c r="I24" i="19"/>
  <c r="J53" i="7"/>
  <c r="M53" i="7" s="1"/>
  <c r="M54" i="7" s="1"/>
  <c r="L53" i="7"/>
  <c r="K53" i="7"/>
  <c r="J19" i="25"/>
  <c r="M38" i="6"/>
  <c r="M27" i="7"/>
  <c r="I27" i="57"/>
  <c r="I28" i="57" s="1"/>
  <c r="I29" i="57" s="1"/>
  <c r="I30" i="57" s="1"/>
  <c r="I31" i="57" s="1"/>
  <c r="H28" i="57"/>
  <c r="H29" i="57" s="1"/>
  <c r="H30" i="57" s="1"/>
  <c r="H31" i="57" s="1"/>
  <c r="L19" i="25" l="1"/>
  <c r="K17" i="45"/>
  <c r="M10" i="6"/>
  <c r="K24" i="19"/>
  <c r="K25" i="19" s="1"/>
  <c r="K28" i="19" s="1"/>
  <c r="K29" i="19" s="1"/>
  <c r="K32" i="19" s="1"/>
  <c r="K33" i="19" s="1"/>
  <c r="M56" i="7"/>
  <c r="M59" i="7" s="1"/>
  <c r="M56" i="6"/>
  <c r="M59" i="6"/>
  <c r="K20" i="25"/>
  <c r="L20" i="25" s="1"/>
  <c r="L23" i="25" s="1"/>
  <c r="L24" i="25" s="1"/>
  <c r="L27" i="25" s="1"/>
  <c r="J20" i="25"/>
  <c r="K27" i="5"/>
  <c r="K28" i="5" s="1"/>
  <c r="K31" i="5"/>
  <c r="K32" i="5" s="1"/>
</calcChain>
</file>

<file path=xl/sharedStrings.xml><?xml version="1.0" encoding="utf-8"?>
<sst xmlns="http://schemas.openxmlformats.org/spreadsheetml/2006/main" count="1060" uniqueCount="331">
  <si>
    <t>Наименование затрат</t>
  </si>
  <si>
    <t>ФОТ</t>
  </si>
  <si>
    <t>руб.</t>
  </si>
  <si>
    <t>Накладн.</t>
  </si>
  <si>
    <t>расходы</t>
  </si>
  <si>
    <t>от ФОТ</t>
  </si>
  <si>
    <t xml:space="preserve">Сметная </t>
  </si>
  <si>
    <t>прибыль</t>
  </si>
  <si>
    <t>Итого</t>
  </si>
  <si>
    <t>Осмотр люка замерного</t>
  </si>
  <si>
    <t>с учетом</t>
  </si>
  <si>
    <t>Осмотр люка светового</t>
  </si>
  <si>
    <t xml:space="preserve">Ревизия дыхательного </t>
  </si>
  <si>
    <t>клапана</t>
  </si>
  <si>
    <t xml:space="preserve">Ревизия </t>
  </si>
  <si>
    <t>гидравлического</t>
  </si>
  <si>
    <t xml:space="preserve">Проверка  </t>
  </si>
  <si>
    <t>огнепреградителя</t>
  </si>
  <si>
    <t xml:space="preserve">Осмотр </t>
  </si>
  <si>
    <t>диска отражателя</t>
  </si>
  <si>
    <t>Проверка пеногенератора</t>
  </si>
  <si>
    <t>Осмотр швов кровли</t>
  </si>
  <si>
    <t xml:space="preserve">приемо-раздаточных </t>
  </si>
  <si>
    <t>патрубков</t>
  </si>
  <si>
    <t>Осмотр и проверка</t>
  </si>
  <si>
    <t>запорной арматуры</t>
  </si>
  <si>
    <t xml:space="preserve">Проверка </t>
  </si>
  <si>
    <t>сифонового клапана</t>
  </si>
  <si>
    <t>Наружный осмотр окрайки</t>
  </si>
  <si>
    <t>днища и упорных уголков</t>
  </si>
  <si>
    <t>Осмотр лестницы</t>
  </si>
  <si>
    <t xml:space="preserve">Наружный осмотр </t>
  </si>
  <si>
    <t>Осмотр люка лаза</t>
  </si>
  <si>
    <t>Осмотр молниезащиты</t>
  </si>
  <si>
    <t>Осмотр и ремонт</t>
  </si>
  <si>
    <t>заземления</t>
  </si>
  <si>
    <t>отчисле-</t>
  </si>
  <si>
    <t>ний</t>
  </si>
  <si>
    <t>Осмотр,проверка и</t>
  </si>
  <si>
    <t>ревизия КИП иА</t>
  </si>
  <si>
    <t>Очистка от снега площадок</t>
  </si>
  <si>
    <t>и дорожек</t>
  </si>
  <si>
    <t xml:space="preserve">Ревизия систем </t>
  </si>
  <si>
    <t>пожаротушения</t>
  </si>
  <si>
    <t>Планировка откосов</t>
  </si>
  <si>
    <t>и каре вручную</t>
  </si>
  <si>
    <t>ИТОГО на ТО с к=1,15 при</t>
  </si>
  <si>
    <t>работе на действующих</t>
  </si>
  <si>
    <t>предприятиях</t>
  </si>
  <si>
    <t>Командировочные расходы</t>
  </si>
  <si>
    <t>Перевозка рабочих</t>
  </si>
  <si>
    <t>раз</t>
  </si>
  <si>
    <t>№ п/п</t>
  </si>
  <si>
    <t>Объем работ</t>
  </si>
  <si>
    <t>Норма времени, чел-час</t>
  </si>
  <si>
    <t>Состав звена, чел.</t>
  </si>
  <si>
    <t>Труд-ты, чел-час</t>
  </si>
  <si>
    <t>Стоимость работ</t>
  </si>
  <si>
    <t>1 шт.</t>
  </si>
  <si>
    <t>Очистка от снега РВС</t>
  </si>
  <si>
    <t>0,45ч/м3х7м3х2цикл.=6,3</t>
  </si>
  <si>
    <t>8 м3</t>
  </si>
  <si>
    <t>7 м3</t>
  </si>
  <si>
    <t>0,45ч/м3х8м3х2цикл.=7,2</t>
  </si>
  <si>
    <t>24 м3</t>
  </si>
  <si>
    <t>0,13ч/м2х24м2х2цик.=6,24</t>
  </si>
  <si>
    <t>Итого на 1 обслуживание</t>
  </si>
  <si>
    <t>работе в стесненных условиях</t>
  </si>
  <si>
    <t xml:space="preserve">Расходные материалы 3% </t>
  </si>
  <si>
    <t>11х100+11х200</t>
  </si>
  <si>
    <t>145х0,18х18,5</t>
  </si>
  <si>
    <t>вертикал.и  горизонтальн. Швов</t>
  </si>
  <si>
    <t>Всего на ТО</t>
  </si>
  <si>
    <t>на 31 РВС</t>
  </si>
  <si>
    <t>К-1,15 Сборник норм времени на обслуживание РВС г. Уфа 1995 г.</t>
  </si>
  <si>
    <t>"Подрядчик":</t>
  </si>
  <si>
    <t>"Заказчик":</t>
  </si>
  <si>
    <t>ООО "НефтеХимСтрой"</t>
  </si>
  <si>
    <t>Директор</t>
  </si>
  <si>
    <t>ООО "УРАЛ-ОЙЛ"</t>
  </si>
  <si>
    <t>Генеральный директор</t>
  </si>
  <si>
    <t>___________Я.Т. Хисматулов</t>
  </si>
  <si>
    <t>_______________М.В.Кропачев</t>
  </si>
  <si>
    <t>Приложение № 3.2</t>
  </si>
  <si>
    <t>Перечень и стоимость работ по текущему обслуживанию РВС (два раза в год)</t>
  </si>
  <si>
    <t>Проверка и ремонт НКДМ</t>
  </si>
  <si>
    <t>Проверка и ремонт КПГ</t>
  </si>
  <si>
    <t>Огнепреградители снятие и установка</t>
  </si>
  <si>
    <t>Ревизия и ремонт запорной арматуры</t>
  </si>
  <si>
    <t>Ремонт системы пенотушения</t>
  </si>
  <si>
    <t>Ремнт системы заземления</t>
  </si>
  <si>
    <t>Восстановление отмостки</t>
  </si>
  <si>
    <t>1,63 м3</t>
  </si>
  <si>
    <t>1,45ч/м3х1,63м3х2=4,73</t>
  </si>
  <si>
    <t>Пробоотборники</t>
  </si>
  <si>
    <t>Ремонт лестниц</t>
  </si>
  <si>
    <t>Замер контуров заземления</t>
  </si>
  <si>
    <t>Сварочные работы по ремонту переходов и площадок обслуживания</t>
  </si>
  <si>
    <t>10 м</t>
  </si>
  <si>
    <t>2,62ч/мх10х2 цикла=52,4</t>
  </si>
  <si>
    <t>Ведение исполнительно-технической документации</t>
  </si>
  <si>
    <t>Оформление документов обследования</t>
  </si>
  <si>
    <t>Обследование РВС</t>
  </si>
  <si>
    <t>чел. Дн.</t>
  </si>
  <si>
    <t>Перечень и стоимость работ по текущему обслуживанию  одного РВС-1000м3/2000м3 (два раза в год)</t>
  </si>
  <si>
    <t>Периодичность</t>
  </si>
  <si>
    <t>Норма времени, чел-час на 1 пров.</t>
  </si>
  <si>
    <t>Проверка вентиляционного патрубка</t>
  </si>
  <si>
    <t>для измерения уровня</t>
  </si>
  <si>
    <t xml:space="preserve">Проверка прибора </t>
  </si>
  <si>
    <t xml:space="preserve">Осмотр приемо-раздаточных </t>
  </si>
  <si>
    <t>(предохранительного) клапана</t>
  </si>
  <si>
    <t xml:space="preserve">гидравлического </t>
  </si>
  <si>
    <t>Проверка байпасного вентиля</t>
  </si>
  <si>
    <t>хлопушки</t>
  </si>
  <si>
    <t xml:space="preserve">Проверка исправности работы </t>
  </si>
  <si>
    <t>вертикал.и  горизонтальн. швов</t>
  </si>
  <si>
    <t>Осмотр канализационных сетей</t>
  </si>
  <si>
    <t>83х100+83х200</t>
  </si>
  <si>
    <t>на 1 РВС</t>
  </si>
  <si>
    <t>270х0,18х18,5</t>
  </si>
  <si>
    <t>чел. дн.</t>
  </si>
  <si>
    <t>200/50х2х380=3040</t>
  </si>
  <si>
    <t>360/50х2х380=5472</t>
  </si>
  <si>
    <t>РВС-400 м3</t>
  </si>
  <si>
    <t>Наименование оборудования,                          вид работ</t>
  </si>
  <si>
    <t>Стоимость одного ремонта, т. руб.</t>
  </si>
  <si>
    <t>Северокамский ЦДНГ (Северокамск + Верещагино)</t>
  </si>
  <si>
    <t>Кунгурский ЦДНГ (Кунгур + Козубай)</t>
  </si>
  <si>
    <t>Чернушенский ЦДНГ (Чернушка +Октябрьский)</t>
  </si>
  <si>
    <t>Красновишерский ЦДНГ (Геж +Цепел)</t>
  </si>
  <si>
    <t>Ильинский ЦДНГ (Майкор +Шатовка)</t>
  </si>
  <si>
    <t>ТО</t>
  </si>
  <si>
    <t>ТР</t>
  </si>
  <si>
    <t>Стоимость всего в год, т. руб.</t>
  </si>
  <si>
    <t>Сумма, т.руб.</t>
  </si>
  <si>
    <t>РВС-700 м3</t>
  </si>
  <si>
    <t>РВС-1000 м3</t>
  </si>
  <si>
    <t>РВС-2000 м3</t>
  </si>
  <si>
    <t>РВС-3000 м3</t>
  </si>
  <si>
    <t>с учетом 15%</t>
  </si>
  <si>
    <t>Итого на 1 ТО</t>
  </si>
  <si>
    <t>Всего на 1 ТР</t>
  </si>
  <si>
    <t>Итого на 1 ТР</t>
  </si>
  <si>
    <t>Перечень и стоимость работ при текущем ремонте РВС -3000м3 (один раз в год)</t>
  </si>
  <si>
    <t>1,45ч/м3х1,5м3х2=4,35</t>
  </si>
  <si>
    <t>2,62ч/мх6мх2 цикла=31,44</t>
  </si>
  <si>
    <t>Гравий</t>
  </si>
  <si>
    <t>Песок</t>
  </si>
  <si>
    <t>Бетон</t>
  </si>
  <si>
    <t>Материал</t>
  </si>
  <si>
    <t>Ед. изм.</t>
  </si>
  <si>
    <t>Кол-во</t>
  </si>
  <si>
    <t>Цена, руб.</t>
  </si>
  <si>
    <t>Стоимость, руб.</t>
  </si>
  <si>
    <t>Вид ремонта</t>
  </si>
  <si>
    <t>м3</t>
  </si>
  <si>
    <t>Замена пробоотборников</t>
  </si>
  <si>
    <t>Вентил 25</t>
  </si>
  <si>
    <t>шт</t>
  </si>
  <si>
    <t>кг</t>
  </si>
  <si>
    <t>Сталь угловая 50х5 (14,5м*3,77=55кг)</t>
  </si>
  <si>
    <t>Просечка (5,8м2*24,7=130 кг)</t>
  </si>
  <si>
    <t>Сталь полосовая 50х5 (29*1,96=57кг)</t>
  </si>
  <si>
    <t>Литол</t>
  </si>
  <si>
    <t>Сальниковая набивка</t>
  </si>
  <si>
    <t>Швеллер № 12 (5,8м*10,4=60,3кг)</t>
  </si>
  <si>
    <t>Сталь листовая 3мм (1,5м2*23,55=35,33кг)</t>
  </si>
  <si>
    <t>Ремонт обваловки</t>
  </si>
  <si>
    <t>Щебень</t>
  </si>
  <si>
    <t>Электроды</t>
  </si>
  <si>
    <t>Пропан</t>
  </si>
  <si>
    <t>Кислород</t>
  </si>
  <si>
    <t>Проверка и ремонт НКДМ, КПГ</t>
  </si>
  <si>
    <t>Диафрагма для клапана</t>
  </si>
  <si>
    <t>Прокладки маслостойкие</t>
  </si>
  <si>
    <t>Масло И-20</t>
  </si>
  <si>
    <t>Шпильки 24х130 5 задвижек*24шп.*50%=60шт</t>
  </si>
  <si>
    <t>Гайки 60шп.*2 г.=120гаек</t>
  </si>
  <si>
    <t>Сталь листовая 4мм (2,9м2*31,4=91,06кг)</t>
  </si>
  <si>
    <t>т</t>
  </si>
  <si>
    <t>Круг шлифовальный</t>
  </si>
  <si>
    <t>Круг отрезной</t>
  </si>
  <si>
    <t>Ветошь</t>
  </si>
  <si>
    <t>Расчет потребности материалов на ТР РВС-3000 м3</t>
  </si>
  <si>
    <t>ЗГС и доставка материалов-14% от стоимости материалов</t>
  </si>
  <si>
    <t>Ремонт переходных площадок, площадок обслуживания.                          Ремонт лестниц</t>
  </si>
  <si>
    <t xml:space="preserve">Расходные материалы  5% от стоимости работ </t>
  </si>
  <si>
    <t>Ремонт системы заземления</t>
  </si>
  <si>
    <t>Норма времени,                            чел-час</t>
  </si>
  <si>
    <t>согласно системе технического обслуживания и планового ремонта оборудования</t>
  </si>
  <si>
    <t>Директор ООО "НефтеХимСтрой"</t>
  </si>
  <si>
    <t>М.В. Кропачев</t>
  </si>
  <si>
    <t>29х100+29х250=10150</t>
  </si>
  <si>
    <t>17х100+17х250=5950</t>
  </si>
  <si>
    <t>Приложение № 1</t>
  </si>
  <si>
    <t>Всего на 4 РВС-3000м3х 1 ТР</t>
  </si>
  <si>
    <t>(Ильинский ЦДНГ (Майкор+Шатовка)</t>
  </si>
  <si>
    <t>Северокамский ЦДНГ (Северокамск+Верещагино)</t>
  </si>
  <si>
    <t>Всего на 2 РВС-400м3х 1 ТР</t>
  </si>
  <si>
    <t>Перечень и стоимость работ при текущем ремонте РВС -400м3 (один раз в год)</t>
  </si>
  <si>
    <t>Приложение № 2</t>
  </si>
  <si>
    <t>Приложение № 4</t>
  </si>
  <si>
    <t>1 раз в неделю</t>
  </si>
  <si>
    <t>Проверка уровня масла в редукторе. Доливка масла в редуктор до необходимого уровня (при необходимости)</t>
  </si>
  <si>
    <t>Проверка состояния скребковой проволоки по длине, соответствующей глубине спуска скребка.</t>
  </si>
  <si>
    <t>Замена манжеты в сальнике (при необходимости)</t>
  </si>
  <si>
    <t>Проверка крепления скребка на проволоке</t>
  </si>
  <si>
    <t>1 раз в месяц</t>
  </si>
  <si>
    <t>Проверка действия механизма максимальной нагрузки, подачу аварийных сигналов</t>
  </si>
  <si>
    <t>Смена масла в редукторе лебедки (в летний период-масло компрессорное К-12 ГОСТ 1861-73, в зимнее время-индустриальное И-12А ГОСТ 20799-80)</t>
  </si>
  <si>
    <t>Через 1000 ч работы</t>
  </si>
  <si>
    <t>Техническое обслуживание депарафинизационных установок ЛКИ-1ЭП</t>
  </si>
  <si>
    <t>Период</t>
  </si>
  <si>
    <t>Всего  ТО на 1 ЛКИ-1ЭП</t>
  </si>
  <si>
    <t>36х100+36х250=1260</t>
  </si>
  <si>
    <t>ЛКИ</t>
  </si>
  <si>
    <t>ПАДУ</t>
  </si>
  <si>
    <t>УДС</t>
  </si>
  <si>
    <t>Набивка смазкой смазочных отверстий сальника любрикатора, продавливание смазки между трущимися поверхностями.</t>
  </si>
  <si>
    <t xml:space="preserve">Расходные материалы  3% от стоимости работ </t>
  </si>
  <si>
    <t>Стоимость одного ремонта, тыс. руб.</t>
  </si>
  <si>
    <t>Расчет затрат на обслуживание и технический ремонт депарафинизационных установок ООО "Урал-Ойл" в 2007г.</t>
  </si>
  <si>
    <t>ООО "Урал-Ойл" в 2007г. согласно системе технического обслуживания и планового ремонта оборудования</t>
  </si>
  <si>
    <t xml:space="preserve">Расчет затрат на обслуживание и технический ремонт электрооборудования УДСП типа ПАДУС </t>
  </si>
  <si>
    <t xml:space="preserve">Текущий ремонт электроодорудования УДПС типа ПАДУС </t>
  </si>
  <si>
    <t>Итого   ТР на 1 установку</t>
  </si>
  <si>
    <t>Внешний осмотр и чистка внешних и внутренних частей электрооборудования от пыли и грязи; контактов реле и пускателей от нагара и "окиси"</t>
  </si>
  <si>
    <t>Проверка нагрева обмоток реле и магнитных пускателей</t>
  </si>
  <si>
    <t>Замена ламн, вышедших из строя</t>
  </si>
  <si>
    <t>Контроль состояния крепежа жил кабелей, проводов, шин заземления.</t>
  </si>
  <si>
    <t>Ильинский ЦДНГ (Майкор+Шатовка)</t>
  </si>
  <si>
    <t>Проверка выключателей и кнопок</t>
  </si>
  <si>
    <t>Проверка пускорегулирующей аппаратуры и электропроводки (частичная замена проводов и кабелей, реле магнитных переключателей)</t>
  </si>
  <si>
    <t>Проверка работы катушки и платы управления (при необходимости замена)</t>
  </si>
  <si>
    <t>0,14х100+0,14х250=35</t>
  </si>
  <si>
    <t>ИТОГО на ТР с к=1,15 при</t>
  </si>
  <si>
    <t>360/50х2х380/6=912</t>
  </si>
  <si>
    <t>Итого   ТР на 12 установок</t>
  </si>
  <si>
    <t>Приложение № 2.2</t>
  </si>
  <si>
    <t>Приложение № 2.2.10</t>
  </si>
  <si>
    <t>Северокамский ЦДНГ-1</t>
  </si>
  <si>
    <t>Кунгурский ЦДНГ-2</t>
  </si>
  <si>
    <t>Красновишерский ЦДНГ-3</t>
  </si>
  <si>
    <t>Ильинский ЦДНГ-5</t>
  </si>
  <si>
    <t xml:space="preserve">Расчет затрат на обслуживание резервуаров ООО "Урал-Ойл" </t>
  </si>
  <si>
    <t>Виды работ</t>
  </si>
  <si>
    <t>Норма времени, чел-час на 1 шт</t>
  </si>
  <si>
    <t>3 пп</t>
  </si>
  <si>
    <t>Кол-во, шт</t>
  </si>
  <si>
    <t>Объем работ, % от кол-ва</t>
  </si>
  <si>
    <t>Периодичность, раз/год</t>
  </si>
  <si>
    <t>Маш.-механ., маш-ч</t>
  </si>
  <si>
    <t>Расход материалов, кг</t>
  </si>
  <si>
    <t>по смете</t>
  </si>
  <si>
    <t xml:space="preserve">Труд-ты в год , чел-час </t>
  </si>
  <si>
    <t>Тариф, руб/ч</t>
  </si>
  <si>
    <t>ФОТ с учетом К=1,15</t>
  </si>
  <si>
    <t>Отчисления на ЗРП</t>
  </si>
  <si>
    <t xml:space="preserve">ФОТ с учетом отчислений </t>
  </si>
  <si>
    <t>Накладные расходы 95% от ФОТ</t>
  </si>
  <si>
    <t>Сметная прибыль 50% от ФОТ</t>
  </si>
  <si>
    <t>Итого, руб</t>
  </si>
  <si>
    <t>Расход материалов, руб</t>
  </si>
  <si>
    <t>Маш.-механ., руб</t>
  </si>
  <si>
    <t>Итого на 1 годовое обслуживание</t>
  </si>
  <si>
    <t>Машины и механизмы</t>
  </si>
  <si>
    <t>Всего на 1 годовое обслуживание</t>
  </si>
  <si>
    <t>Проведение полного цикла спуска, подъема с целью выявления возможных неполадок, их устранение.</t>
  </si>
  <si>
    <t>Период в течение года, К=мес/12мес.</t>
  </si>
  <si>
    <t>Расчет нормативов затрат по содержанию направляющих устройств на 1 год</t>
  </si>
  <si>
    <t>Промывка, очистка  от грязи, краски, объявлений</t>
  </si>
  <si>
    <t>Окраска направляющих устройств</t>
  </si>
  <si>
    <t>Ремонт направляющих устройств</t>
  </si>
  <si>
    <t>Замена направляющих устройств</t>
  </si>
  <si>
    <t>Демонтаж направляющих устройств, отсутствующих в утвержденном проекте организации движения</t>
  </si>
  <si>
    <t>Осмотр направляющих устройств на наличие дефектов и соответствие утвержденному проекту организации движения</t>
  </si>
  <si>
    <t>Установка недостающих направляющих устройств</t>
  </si>
  <si>
    <t>Ремонт ограждений</t>
  </si>
  <si>
    <t>Окраска ограждений</t>
  </si>
  <si>
    <t>Замена отдельных секций ограждений</t>
  </si>
  <si>
    <t>Демонтаж ограждений, отсутствующих в утвержденном проекте организации движения</t>
  </si>
  <si>
    <t>Осмотр ограждений на наличие дефектов и соответствие утвержденному проекту организации движения</t>
  </si>
  <si>
    <t>Установка недостающих ограждений</t>
  </si>
  <si>
    <t>Расчет нормативов затрат по содержанию искусственных неровностей на 1 год</t>
  </si>
  <si>
    <t>Расчет нормативов затрат по содержанию ограждений на 1 год</t>
  </si>
  <si>
    <t>Подтяжка болтов крепления</t>
  </si>
  <si>
    <t>Ремонт искусственных неровностей из асфальтобетона</t>
  </si>
  <si>
    <t>Замена отдельных частей искусственных неровностей</t>
  </si>
  <si>
    <t>Демонтаж искусственных неровностей, отсутствующих в утвержденном проекте организации движения</t>
  </si>
  <si>
    <t>Осмотр искусственных неровностей на наличие дефектов и соответствие утвержденному проекту организации движения</t>
  </si>
  <si>
    <t>Устройство недостающих искусственных неровностей</t>
  </si>
  <si>
    <t>Расчет нормативов затрат по содержанию, обслуживанию, ремонту комплекса технических средств видеонаблюдения и управления дорожным движением на 1 год</t>
  </si>
  <si>
    <t>Внешний осмотр</t>
  </si>
  <si>
    <t>Стоимость содержания 1 шт. в год, руб.</t>
  </si>
  <si>
    <t>Стоимость содержания 1 шт. в мес., руб.</t>
  </si>
  <si>
    <t>НДС 18%</t>
  </si>
  <si>
    <t xml:space="preserve">Калькуляция затрат </t>
  </si>
  <si>
    <t xml:space="preserve"> на содержание 1 дорожного знака в день</t>
  </si>
  <si>
    <t>Вывоз строительного мусора</t>
  </si>
  <si>
    <t xml:space="preserve">Объем работ, % </t>
  </si>
  <si>
    <t>1/7</t>
  </si>
  <si>
    <t>Стоимость содержания 1 шт., без НДС., руб.                (ЛРСР № 10)</t>
  </si>
  <si>
    <t>Очистка дорожных знаков и стойки от снега (Зима)</t>
  </si>
  <si>
    <t>Промывка знака, стойки, очистка от грязи, краски, объявлений</t>
  </si>
  <si>
    <t xml:space="preserve">Окраска  щитка знака, элементов крепления </t>
  </si>
  <si>
    <t xml:space="preserve">Окраска стойки знака, элементов крепления </t>
  </si>
  <si>
    <t>Замена щитка знака</t>
  </si>
  <si>
    <t>Замена стойки знака</t>
  </si>
  <si>
    <t>Обеспечение видимости</t>
  </si>
  <si>
    <t>Ремонт стойки знака (опоры). Подтяжка крепления знака, ремонт крепления</t>
  </si>
  <si>
    <t>Демонтаж знаков отсутствующих в утвержденном проекте организации движения</t>
  </si>
  <si>
    <t xml:space="preserve">Составил: </t>
  </si>
  <si>
    <t>Инженер-сметчик                                                        В.Н. Артемова</t>
  </si>
  <si>
    <t xml:space="preserve">                                       (должность, подпись, расшифровка)</t>
  </si>
  <si>
    <t xml:space="preserve">Проверил: </t>
  </si>
  <si>
    <t>УТВЕРЖДАЮ:</t>
  </si>
  <si>
    <t>Муниципального казенного учреждения</t>
  </si>
  <si>
    <t>"Пермская Дирекция дорожного движения"</t>
  </si>
  <si>
    <t>________________________М.Л. Кис</t>
  </si>
  <si>
    <t>"________ " _________________2012 г.</t>
  </si>
  <si>
    <t xml:space="preserve">Итого </t>
  </si>
  <si>
    <t>%</t>
  </si>
  <si>
    <t>Осмотр знаков на наличие дефектов и соответствие утвержденному проекту организации движения (2% от общей стоимости содержания)</t>
  </si>
  <si>
    <t>Стоимость содержания  1 шт. в день,      руб.</t>
  </si>
  <si>
    <t>№ пп</t>
  </si>
  <si>
    <t>Всего с НДС на содержание 1  дорожного знака</t>
  </si>
  <si>
    <t>Итого на содержание 1 знака</t>
  </si>
  <si>
    <t>Начальник</t>
  </si>
  <si>
    <t>Приложение № 3 к документации</t>
  </si>
  <si>
    <t>об открытом аукционе в электронной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</si>
</sst>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i/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8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9" fontId="3" fillId="0" borderId="2" xfId="0" applyNumberFormat="1" applyFont="1" applyBorder="1" applyAlignment="1">
      <alignment horizontal="left"/>
    </xf>
    <xf numFmtId="0" fontId="0" fillId="0" borderId="2" xfId="0" applyBorder="1"/>
    <xf numFmtId="0" fontId="0" fillId="0" borderId="3" xfId="0" applyBorder="1"/>
    <xf numFmtId="9" fontId="3" fillId="0" borderId="3" xfId="0" applyNumberFormat="1" applyFont="1" applyBorder="1" applyAlignment="1">
      <alignment horizontal="left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2" fontId="0" fillId="0" borderId="10" xfId="0" applyNumberFormat="1" applyBorder="1" applyAlignment="1">
      <alignment horizontal="center"/>
    </xf>
    <xf numFmtId="2" fontId="0" fillId="0" borderId="10" xfId="0" applyNumberFormat="1" applyBorder="1" applyAlignment="1"/>
    <xf numFmtId="0" fontId="0" fillId="0" borderId="10" xfId="0" applyBorder="1" applyAlignment="1"/>
    <xf numFmtId="0" fontId="0" fillId="0" borderId="3" xfId="0" applyBorder="1" applyAlignment="1">
      <alignment horizontal="center"/>
    </xf>
    <xf numFmtId="0" fontId="0" fillId="2" borderId="10" xfId="0" applyFill="1" applyBorder="1" applyAlignment="1"/>
    <xf numFmtId="0" fontId="0" fillId="2" borderId="1" xfId="0" applyFill="1" applyBorder="1" applyAlignment="1"/>
    <xf numFmtId="2" fontId="0" fillId="2" borderId="10" xfId="0" applyNumberFormat="1" applyFill="1" applyBorder="1" applyAlignment="1"/>
    <xf numFmtId="2" fontId="0" fillId="2" borderId="10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" xfId="0" applyNumberFormat="1" applyBorder="1" applyAlignment="1"/>
    <xf numFmtId="2" fontId="0" fillId="0" borderId="3" xfId="0" applyNumberFormat="1" applyBorder="1" applyAlignment="1"/>
    <xf numFmtId="2" fontId="0" fillId="0" borderId="2" xfId="0" applyNumberFormat="1" applyBorder="1" applyAlignment="1"/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2" fillId="0" borderId="10" xfId="0" applyNumberFormat="1" applyFont="1" applyBorder="1" applyAlignment="1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/>
    <xf numFmtId="2" fontId="2" fillId="0" borderId="2" xfId="0" applyNumberFormat="1" applyFont="1" applyBorder="1" applyAlignment="1"/>
    <xf numFmtId="2" fontId="0" fillId="0" borderId="8" xfId="0" applyNumberFormat="1" applyBorder="1" applyAlignment="1"/>
    <xf numFmtId="0" fontId="0" fillId="0" borderId="11" xfId="0" applyBorder="1" applyAlignment="1"/>
    <xf numFmtId="2" fontId="2" fillId="0" borderId="1" xfId="0" applyNumberFormat="1" applyFont="1" applyBorder="1" applyAlignment="1"/>
    <xf numFmtId="9" fontId="0" fillId="0" borderId="3" xfId="0" applyNumberForma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3" borderId="1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0" xfId="0" applyFill="1" applyBorder="1" applyAlignment="1"/>
    <xf numFmtId="0" fontId="0" fillId="3" borderId="1" xfId="0" applyFill="1" applyBorder="1" applyAlignment="1"/>
    <xf numFmtId="2" fontId="0" fillId="3" borderId="10" xfId="0" applyNumberFormat="1" applyFill="1" applyBorder="1" applyAlignment="1"/>
    <xf numFmtId="0" fontId="0" fillId="3" borderId="0" xfId="0" applyFill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/>
    <xf numFmtId="0" fontId="2" fillId="0" borderId="10" xfId="0" applyFont="1" applyBorder="1" applyAlignment="1"/>
    <xf numFmtId="0" fontId="0" fillId="0" borderId="0" xfId="0" applyBorder="1" applyAlignment="1">
      <alignment horizontal="center"/>
    </xf>
    <xf numFmtId="0" fontId="3" fillId="0" borderId="0" xfId="0" applyFont="1" applyBorder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2" fontId="0" fillId="0" borderId="10" xfId="0" applyNumberFormat="1" applyBorder="1" applyAlignment="1">
      <alignment vertic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0" fillId="0" borderId="3" xfId="0" applyBorder="1" applyAlignment="1">
      <alignment horizontal="center" vertical="center"/>
    </xf>
    <xf numFmtId="0" fontId="0" fillId="0" borderId="0" xfId="0" applyBorder="1"/>
    <xf numFmtId="2" fontId="0" fillId="0" borderId="0" xfId="0" applyNumberFormat="1"/>
    <xf numFmtId="2" fontId="0" fillId="0" borderId="9" xfId="0" applyNumberFormat="1" applyBorder="1" applyAlignment="1"/>
    <xf numFmtId="2" fontId="0" fillId="0" borderId="7" xfId="0" applyNumberFormat="1" applyBorder="1" applyAlignment="1"/>
    <xf numFmtId="2" fontId="0" fillId="0" borderId="5" xfId="0" applyNumberFormat="1" applyBorder="1" applyAlignment="1"/>
    <xf numFmtId="2" fontId="0" fillId="0" borderId="2" xfId="0" applyNumberFormat="1" applyBorder="1" applyAlignment="1">
      <alignment vertical="center"/>
    </xf>
    <xf numFmtId="0" fontId="0" fillId="2" borderId="4" xfId="0" applyFill="1" applyBorder="1" applyAlignment="1"/>
    <xf numFmtId="0" fontId="0" fillId="2" borderId="5" xfId="0" applyFill="1" applyBorder="1" applyAlignment="1"/>
    <xf numFmtId="2" fontId="0" fillId="2" borderId="3" xfId="0" applyNumberFormat="1" applyFill="1" applyBorder="1" applyAlignment="1"/>
    <xf numFmtId="0" fontId="0" fillId="0" borderId="10" xfId="0" applyBorder="1" applyAlignment="1">
      <alignment vertical="center" wrapText="1"/>
    </xf>
    <xf numFmtId="0" fontId="0" fillId="0" borderId="10" xfId="0" applyBorder="1"/>
    <xf numFmtId="0" fontId="2" fillId="0" borderId="0" xfId="0" applyFont="1"/>
    <xf numFmtId="0" fontId="0" fillId="0" borderId="0" xfId="0" applyAlignment="1"/>
    <xf numFmtId="0" fontId="3" fillId="0" borderId="2" xfId="0" applyFont="1" applyBorder="1" applyAlignment="1">
      <alignment wrapText="1"/>
    </xf>
    <xf numFmtId="2" fontId="0" fillId="0" borderId="0" xfId="0" applyNumberFormat="1" applyBorder="1" applyAlignment="1"/>
    <xf numFmtId="2" fontId="0" fillId="0" borderId="0" xfId="0" applyNumberFormat="1" applyBorder="1" applyAlignment="1">
      <alignment vertical="center"/>
    </xf>
    <xf numFmtId="2" fontId="0" fillId="2" borderId="0" xfId="0" applyNumberFormat="1" applyFill="1" applyBorder="1" applyAlignment="1"/>
    <xf numFmtId="0" fontId="0" fillId="0" borderId="0" xfId="0" applyAlignment="1">
      <alignment wrapText="1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wrapText="1"/>
    </xf>
    <xf numFmtId="2" fontId="0" fillId="0" borderId="10" xfId="0" applyNumberFormat="1" applyBorder="1"/>
    <xf numFmtId="1" fontId="0" fillId="0" borderId="10" xfId="0" applyNumberFormat="1" applyBorder="1" applyAlignment="1">
      <alignment vertical="center" wrapText="1"/>
    </xf>
    <xf numFmtId="1" fontId="0" fillId="0" borderId="10" xfId="0" applyNumberFormat="1" applyBorder="1"/>
    <xf numFmtId="1" fontId="0" fillId="0" borderId="0" xfId="0" applyNumberFormat="1"/>
    <xf numFmtId="2" fontId="0" fillId="0" borderId="10" xfId="0" applyNumberFormat="1" applyBorder="1" applyAlignment="1">
      <alignment vertical="center" wrapText="1"/>
    </xf>
    <xf numFmtId="0" fontId="2" fillId="0" borderId="10" xfId="0" applyFont="1" applyBorder="1"/>
    <xf numFmtId="0" fontId="2" fillId="0" borderId="10" xfId="0" applyFont="1" applyBorder="1" applyAlignment="1">
      <alignment wrapText="1"/>
    </xf>
    <xf numFmtId="2" fontId="2" fillId="0" borderId="10" xfId="0" applyNumberFormat="1" applyFont="1" applyBorder="1"/>
    <xf numFmtId="1" fontId="2" fillId="0" borderId="10" xfId="0" applyNumberFormat="1" applyFont="1" applyBorder="1"/>
    <xf numFmtId="0" fontId="0" fillId="0" borderId="10" xfId="0" applyBorder="1" applyAlignment="1">
      <alignment horizontal="center" vertical="center"/>
    </xf>
    <xf numFmtId="1" fontId="0" fillId="3" borderId="0" xfId="0" applyNumberFormat="1" applyFill="1"/>
    <xf numFmtId="1" fontId="0" fillId="3" borderId="0" xfId="0" applyNumberFormat="1" applyFill="1" applyAlignment="1">
      <alignment horizontal="center"/>
    </xf>
    <xf numFmtId="1" fontId="0" fillId="3" borderId="10" xfId="0" applyNumberFormat="1" applyFill="1" applyBorder="1" applyAlignment="1">
      <alignment vertical="center" wrapText="1"/>
    </xf>
    <xf numFmtId="1" fontId="0" fillId="3" borderId="10" xfId="0" applyNumberFormat="1" applyFill="1" applyBorder="1" applyAlignment="1">
      <alignment horizontal="center" vertical="center" wrapText="1"/>
    </xf>
    <xf numFmtId="1" fontId="0" fillId="3" borderId="0" xfId="0" applyNumberFormat="1" applyFill="1" applyAlignment="1">
      <alignment vertical="center" wrapText="1"/>
    </xf>
    <xf numFmtId="1" fontId="0" fillId="3" borderId="10" xfId="0" applyNumberFormat="1" applyFill="1" applyBorder="1" applyAlignment="1">
      <alignment horizontal="center"/>
    </xf>
    <xf numFmtId="1" fontId="2" fillId="3" borderId="10" xfId="0" applyNumberFormat="1" applyFont="1" applyFill="1" applyBorder="1" applyAlignment="1">
      <alignment horizontal="center"/>
    </xf>
    <xf numFmtId="1" fontId="2" fillId="3" borderId="0" xfId="0" applyNumberFormat="1" applyFont="1" applyFill="1"/>
    <xf numFmtId="1" fontId="0" fillId="3" borderId="10" xfId="0" applyNumberFormat="1" applyFill="1" applyBorder="1"/>
    <xf numFmtId="1" fontId="6" fillId="3" borderId="0" xfId="0" applyNumberFormat="1" applyFont="1" applyFill="1"/>
    <xf numFmtId="1" fontId="6" fillId="3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2" borderId="10" xfId="0" applyFill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0" fillId="0" borderId="0" xfId="0" applyAlignment="1">
      <alignment horizontal="center" wrapText="1"/>
    </xf>
    <xf numFmtId="2" fontId="0" fillId="3" borderId="0" xfId="0" applyNumberFormat="1" applyFill="1" applyBorder="1" applyAlignment="1"/>
    <xf numFmtId="1" fontId="0" fillId="0" borderId="0" xfId="0" applyNumberFormat="1" applyBorder="1" applyAlignment="1">
      <alignment vertical="center"/>
    </xf>
    <xf numFmtId="1" fontId="3" fillId="0" borderId="1" xfId="0" applyNumberFormat="1" applyFont="1" applyBorder="1"/>
    <xf numFmtId="1" fontId="3" fillId="0" borderId="2" xfId="0" applyNumberFormat="1" applyFont="1" applyBorder="1"/>
    <xf numFmtId="1" fontId="0" fillId="0" borderId="2" xfId="0" applyNumberFormat="1" applyBorder="1"/>
    <xf numFmtId="1" fontId="0" fillId="0" borderId="3" xfId="0" applyNumberFormat="1" applyBorder="1"/>
    <xf numFmtId="1" fontId="0" fillId="0" borderId="10" xfId="0" applyNumberFormat="1" applyBorder="1" applyAlignment="1">
      <alignment vertical="center"/>
    </xf>
    <xf numFmtId="1" fontId="0" fillId="2" borderId="10" xfId="0" applyNumberFormat="1" applyFill="1" applyBorder="1" applyAlignment="1"/>
    <xf numFmtId="1" fontId="2" fillId="0" borderId="1" xfId="0" applyNumberFormat="1" applyFont="1" applyBorder="1" applyAlignment="1"/>
    <xf numFmtId="1" fontId="0" fillId="0" borderId="2" xfId="0" applyNumberFormat="1" applyBorder="1" applyAlignment="1"/>
    <xf numFmtId="1" fontId="0" fillId="0" borderId="3" xfId="0" applyNumberFormat="1" applyBorder="1" applyAlignment="1"/>
    <xf numFmtId="1" fontId="0" fillId="0" borderId="10" xfId="0" applyNumberFormat="1" applyBorder="1" applyAlignment="1"/>
    <xf numFmtId="1" fontId="2" fillId="0" borderId="10" xfId="0" applyNumberFormat="1" applyFont="1" applyBorder="1" applyAlignment="1"/>
    <xf numFmtId="1" fontId="0" fillId="0" borderId="0" xfId="0" applyNumberFormat="1" applyBorder="1" applyAlignment="1"/>
    <xf numFmtId="1" fontId="2" fillId="0" borderId="0" xfId="0" applyNumberFormat="1" applyFont="1" applyBorder="1" applyAlignment="1"/>
    <xf numFmtId="1" fontId="0" fillId="0" borderId="0" xfId="0" applyNumberFormat="1" applyBorder="1"/>
    <xf numFmtId="2" fontId="4" fillId="0" borderId="1" xfId="0" applyNumberFormat="1" applyFont="1" applyBorder="1" applyAlignment="1"/>
    <xf numFmtId="1" fontId="0" fillId="3" borderId="0" xfId="0" applyNumberFormat="1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vertical="center"/>
    </xf>
    <xf numFmtId="0" fontId="1" fillId="0" borderId="12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4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0" fillId="4" borderId="1" xfId="0" applyFill="1" applyBorder="1" applyAlignment="1">
      <alignment horizontal="center"/>
    </xf>
    <xf numFmtId="0" fontId="0" fillId="4" borderId="4" xfId="0" applyFill="1" applyBorder="1" applyAlignment="1">
      <alignment wrapText="1"/>
    </xf>
    <xf numFmtId="0" fontId="0" fillId="4" borderId="1" xfId="0" applyFill="1" applyBorder="1" applyAlignment="1"/>
    <xf numFmtId="2" fontId="0" fillId="4" borderId="10" xfId="0" applyNumberFormat="1" applyFill="1" applyBorder="1" applyAlignment="1"/>
    <xf numFmtId="2" fontId="0" fillId="4" borderId="1" xfId="0" applyNumberFormat="1" applyFill="1" applyBorder="1" applyAlignment="1"/>
    <xf numFmtId="0" fontId="0" fillId="4" borderId="0" xfId="0" applyFill="1"/>
    <xf numFmtId="0" fontId="0" fillId="4" borderId="0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9" fontId="0" fillId="4" borderId="3" xfId="0" applyNumberForma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0" xfId="0" applyFill="1"/>
    <xf numFmtId="0" fontId="0" fillId="5" borderId="0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3" borderId="12" xfId="0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9" fontId="3" fillId="0" borderId="10" xfId="0" applyNumberFormat="1" applyFont="1" applyBorder="1" applyAlignment="1">
      <alignment horizontal="left" wrapText="1"/>
    </xf>
    <xf numFmtId="0" fontId="3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0" fillId="0" borderId="10" xfId="0" applyFont="1" applyBorder="1" applyAlignment="1">
      <alignment vertical="center" wrapText="1"/>
    </xf>
    <xf numFmtId="0" fontId="0" fillId="4" borderId="10" xfId="0" applyFont="1" applyFill="1" applyBorder="1" applyAlignment="1">
      <alignment vertical="center" wrapText="1"/>
    </xf>
    <xf numFmtId="0" fontId="0" fillId="5" borderId="10" xfId="0" applyFont="1" applyFill="1" applyBorder="1" applyAlignment="1">
      <alignment vertical="center" wrapText="1"/>
    </xf>
    <xf numFmtId="9" fontId="0" fillId="0" borderId="10" xfId="0" applyNumberFormat="1" applyFont="1" applyBorder="1" applyAlignment="1">
      <alignment vertical="center" wrapText="1"/>
    </xf>
    <xf numFmtId="0" fontId="0" fillId="0" borderId="10" xfId="0" applyFont="1" applyBorder="1"/>
    <xf numFmtId="0" fontId="0" fillId="0" borderId="0" xfId="0" applyFont="1"/>
    <xf numFmtId="0" fontId="0" fillId="4" borderId="1" xfId="0" applyFill="1" applyBorder="1" applyAlignment="1">
      <alignment horizontal="center" wrapText="1"/>
    </xf>
    <xf numFmtId="0" fontId="2" fillId="0" borderId="3" xfId="0" applyFont="1" applyBorder="1" applyAlignment="1"/>
    <xf numFmtId="2" fontId="2" fillId="0" borderId="3" xfId="0" applyNumberFormat="1" applyFont="1" applyBorder="1" applyAlignment="1"/>
    <xf numFmtId="0" fontId="0" fillId="4" borderId="12" xfId="0" applyFill="1" applyBorder="1" applyAlignment="1">
      <alignment wrapText="1"/>
    </xf>
    <xf numFmtId="0" fontId="0" fillId="4" borderId="10" xfId="0" applyFill="1" applyBorder="1" applyAlignment="1">
      <alignment horizontal="center"/>
    </xf>
    <xf numFmtId="0" fontId="0" fillId="4" borderId="10" xfId="0" applyFill="1" applyBorder="1" applyAlignment="1"/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10" xfId="0" applyFill="1" applyBorder="1" applyAlignment="1">
      <alignment vertical="center" wrapText="1"/>
    </xf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wrapText="1"/>
    </xf>
    <xf numFmtId="0" fontId="3" fillId="0" borderId="0" xfId="0" applyFont="1" applyFill="1" applyBorder="1"/>
    <xf numFmtId="0" fontId="0" fillId="0" borderId="0" xfId="0" applyFill="1" applyBorder="1"/>
    <xf numFmtId="0" fontId="2" fillId="0" borderId="1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0" fontId="0" fillId="0" borderId="0" xfId="0" applyFill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left" wrapText="1"/>
    </xf>
    <xf numFmtId="0" fontId="0" fillId="0" borderId="0" xfId="0" applyFont="1" applyFill="1"/>
    <xf numFmtId="2" fontId="0" fillId="0" borderId="0" xfId="0" applyNumberFormat="1" applyFill="1" applyAlignment="1">
      <alignment horizontal="right"/>
    </xf>
    <xf numFmtId="2" fontId="0" fillId="0" borderId="0" xfId="0" applyNumberFormat="1" applyFill="1" applyBorder="1" applyAlignment="1">
      <alignment horizontal="right"/>
    </xf>
    <xf numFmtId="2" fontId="0" fillId="0" borderId="10" xfId="0" applyNumberFormat="1" applyFill="1" applyBorder="1" applyAlignment="1">
      <alignment horizontal="right"/>
    </xf>
    <xf numFmtId="2" fontId="0" fillId="0" borderId="1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1" fontId="0" fillId="0" borderId="1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165" fontId="0" fillId="0" borderId="0" xfId="0" applyNumberFormat="1" applyFill="1"/>
    <xf numFmtId="0" fontId="0" fillId="0" borderId="10" xfId="0" applyFill="1" applyBorder="1" applyAlignment="1">
      <alignment horizontal="right"/>
    </xf>
    <xf numFmtId="1" fontId="0" fillId="0" borderId="10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0" fontId="0" fillId="0" borderId="10" xfId="0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/>
    </xf>
    <xf numFmtId="0" fontId="0" fillId="0" borderId="11" xfId="0" applyBorder="1" applyAlignment="1">
      <alignment horizontal="left"/>
    </xf>
    <xf numFmtId="0" fontId="0" fillId="0" borderId="0" xfId="0" applyBorder="1" applyAlignment="1"/>
    <xf numFmtId="0" fontId="12" fillId="0" borderId="0" xfId="0" applyFont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4" fillId="0" borderId="0" xfId="0" applyFont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0" fillId="0" borderId="11" xfId="0" applyBorder="1" applyAlignment="1"/>
    <xf numFmtId="164" fontId="0" fillId="0" borderId="10" xfId="0" applyNumberFormat="1" applyFill="1" applyBorder="1" applyAlignment="1">
      <alignment horizontal="right"/>
    </xf>
    <xf numFmtId="0" fontId="0" fillId="0" borderId="10" xfId="0" applyFill="1" applyBorder="1" applyAlignment="1">
      <alignment horizontal="left" wrapText="1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vertical="center"/>
    </xf>
    <xf numFmtId="2" fontId="0" fillId="0" borderId="10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2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6" xfId="0" applyFont="1" applyBorder="1" applyAlignment="1">
      <alignment horizontal="left"/>
    </xf>
    <xf numFmtId="0" fontId="0" fillId="0" borderId="7" xfId="0" applyBorder="1"/>
    <xf numFmtId="0" fontId="2" fillId="0" borderId="0" xfId="0" applyFont="1" applyBorder="1" applyAlignment="1">
      <alignment horizontal="center"/>
    </xf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12" xfId="0" applyFont="1" applyBorder="1" applyAlignment="1">
      <alignment horizontal="left" wrapText="1"/>
    </xf>
    <xf numFmtId="0" fontId="0" fillId="0" borderId="13" xfId="0" applyBorder="1"/>
    <xf numFmtId="0" fontId="0" fillId="0" borderId="4" xfId="0" applyBorder="1" applyAlignment="1">
      <alignment horizont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1" fillId="2" borderId="12" xfId="0" applyFont="1" applyFill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0" fillId="0" borderId="13" xfId="0" applyBorder="1" applyAlignment="1">
      <alignment wrapText="1"/>
    </xf>
    <xf numFmtId="0" fontId="3" fillId="0" borderId="12" xfId="0" applyFont="1" applyBorder="1" applyAlignment="1">
      <alignment horizontal="left"/>
    </xf>
    <xf numFmtId="2" fontId="0" fillId="0" borderId="12" xfId="0" applyNumberFormat="1" applyBorder="1" applyAlignment="1"/>
    <xf numFmtId="0" fontId="0" fillId="0" borderId="14" xfId="0" applyBorder="1"/>
    <xf numFmtId="0" fontId="3" fillId="0" borderId="9" xfId="0" applyFont="1" applyBorder="1" applyAlignment="1">
      <alignment horizontal="left"/>
    </xf>
    <xf numFmtId="1" fontId="0" fillId="0" borderId="0" xfId="0" applyNumberFormat="1" applyBorder="1" applyAlignment="1">
      <alignment vertical="center"/>
    </xf>
    <xf numFmtId="1" fontId="0" fillId="0" borderId="0" xfId="0" applyNumberFormat="1"/>
    <xf numFmtId="2" fontId="0" fillId="0" borderId="0" xfId="0" applyNumberForma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0" fillId="0" borderId="0" xfId="0" applyAlignment="1"/>
    <xf numFmtId="0" fontId="0" fillId="0" borderId="2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1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5" xfId="0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 wrapText="1"/>
    </xf>
    <xf numFmtId="0" fontId="3" fillId="0" borderId="13" xfId="0" applyFont="1" applyBorder="1" applyAlignment="1">
      <alignment horizontal="left"/>
    </xf>
    <xf numFmtId="2" fontId="0" fillId="0" borderId="8" xfId="0" applyNumberFormat="1" applyBorder="1" applyAlignment="1"/>
    <xf numFmtId="0" fontId="0" fillId="0" borderId="11" xfId="0" applyBorder="1" applyAlignment="1"/>
    <xf numFmtId="0" fontId="0" fillId="0" borderId="9" xfId="0" applyBorder="1" applyAlignment="1"/>
    <xf numFmtId="0" fontId="0" fillId="0" borderId="14" xfId="0" applyBorder="1" applyAlignment="1"/>
    <xf numFmtId="0" fontId="0" fillId="0" borderId="13" xfId="0" applyBorder="1" applyAlignment="1"/>
    <xf numFmtId="0" fontId="0" fillId="0" borderId="13" xfId="0" applyBorder="1" applyAlignment="1">
      <alignment horizontal="left" wrapText="1"/>
    </xf>
    <xf numFmtId="0" fontId="0" fillId="0" borderId="0" xfId="0" applyBorder="1" applyAlignment="1">
      <alignment vertical="center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4" fillId="0" borderId="0" xfId="0" applyFont="1" applyBorder="1" applyAlignment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1" fontId="5" fillId="3" borderId="10" xfId="0" applyNumberFormat="1" applyFont="1" applyFill="1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1" fontId="2" fillId="3" borderId="10" xfId="0" applyNumberFormat="1" applyFont="1" applyFill="1" applyBorder="1" applyAlignment="1">
      <alignment horizontal="center"/>
    </xf>
    <xf numFmtId="1" fontId="0" fillId="3" borderId="0" xfId="0" applyNumberFormat="1" applyFill="1" applyAlignment="1">
      <alignment horizontal="right"/>
    </xf>
    <xf numFmtId="1" fontId="2" fillId="3" borderId="0" xfId="0" applyNumberFormat="1" applyFont="1" applyFill="1" applyAlignment="1">
      <alignment horizontal="center"/>
    </xf>
    <xf numFmtId="1" fontId="0" fillId="3" borderId="10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2" fontId="0" fillId="0" borderId="10" xfId="0" applyNumberFormat="1" applyBorder="1" applyAlignment="1">
      <alignment vertical="center"/>
    </xf>
    <xf numFmtId="0" fontId="11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right"/>
    </xf>
    <xf numFmtId="2" fontId="15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85;&#1076;&#1077;&#1088;%20&#1059;&#1088;&#1072;&#1083;&#1054;&#1081;&#1083;/&#1058;&#1054;&#1056;&#1042;&#105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mp28/Documentum/Viewed/&#1088;&#1072;&#1073;&#1086;&#1095;&#1080;&#1081;%20&#1089;&#1090;&#1086;&#1083;/&#1053;&#1077;&#1092;&#1090;&#1100;&#1057;&#1090;&#1088;&#1086;&#1081;&#1061;&#1080;&#1084;/&#1059;&#1088;&#1072;&#1083;&#1054;&#1081;&#1083;%202009&#1058;&#1077;&#1085;&#1076;&#1077;&#1088;/&#1058;&#1077;&#1085;&#1076;&#1077;&#1088;-2009%20&#1059;&#1088;&#1072;&#1083;&#1054;&#1081;&#1083;/&#1057;&#1077;&#1088;&#1074;-&#1086;&#1077;%20&#1086;&#1073;&#1089;&#1083;&#1091;&#1078;-&#1077;%20&#1088;&#1077;&#1079;&#1077;&#1088;&#1074;&#1091;&#1072;&#1088;&#1086;&#1074;%20&#1074;&#1077;&#1088;&#1090;&#1080;&#1082;&#1072;&#1083;-&#1093;%20&#1089;&#1090;&#1072;&#1083;&#1100;&#1085;&#1099;&#1093;/&#1058;&#1056;%20&#1056;&#1042;&#105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льин. 400"/>
      <sheetName val="Ильин.1000"/>
      <sheetName val="Геж2000"/>
      <sheetName val="Северокам 400"/>
      <sheetName val="Северок 1000"/>
      <sheetName val="Кунгур 400"/>
      <sheetName val="Кунгур 1000"/>
      <sheetName val="Сводная резервуар"/>
    </sheetNames>
    <sheetDataSet>
      <sheetData sheetId="0"/>
      <sheetData sheetId="1">
        <row r="58">
          <cell r="K58">
            <v>17652.707241199998</v>
          </cell>
        </row>
      </sheetData>
      <sheetData sheetId="2">
        <row r="59">
          <cell r="K59">
            <v>70610.828964799992</v>
          </cell>
        </row>
      </sheetData>
      <sheetData sheetId="3">
        <row r="58">
          <cell r="K58">
            <v>16113.507241199997</v>
          </cell>
        </row>
      </sheetData>
      <sheetData sheetId="4">
        <row r="58">
          <cell r="K58">
            <v>17652.707241199998</v>
          </cell>
        </row>
      </sheetData>
      <sheetData sheetId="5">
        <row r="58">
          <cell r="K58">
            <v>16113.507241199997</v>
          </cell>
        </row>
      </sheetData>
      <sheetData sheetId="6">
        <row r="58">
          <cell r="K58">
            <v>16113.507241199997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иалы"/>
      <sheetName val="Ильин.ЦДНГ-5 РВС-400"/>
      <sheetName val="Ильин.ЦДНГ-5 РВС-1000,3000"/>
      <sheetName val="Геж ЦДНГ-3 РВС-2000"/>
      <sheetName val="Северок.ЦДНГ-1 РВС-400,700"/>
      <sheetName val="Северок.ЦДНГ-1 РВС-1000"/>
      <sheetName val="Кунгур.ЦДНГ-2 РВС-400,700"/>
      <sheetName val="Кунгур.ЦДНГ-2 РВС-1000,2000"/>
    </sheetNames>
    <sheetDataSet>
      <sheetData sheetId="0"/>
      <sheetData sheetId="1">
        <row r="31">
          <cell r="K31">
            <v>35386.118948329997</v>
          </cell>
        </row>
      </sheetData>
      <sheetData sheetId="2">
        <row r="31">
          <cell r="K31">
            <v>35386.118948329997</v>
          </cell>
        </row>
      </sheetData>
      <sheetData sheetId="3">
        <row r="32">
          <cell r="K32">
            <v>70291.068581917585</v>
          </cell>
        </row>
      </sheetData>
      <sheetData sheetId="4">
        <row r="31">
          <cell r="K31">
            <v>33846.91894833</v>
          </cell>
        </row>
      </sheetData>
      <sheetData sheetId="5">
        <row r="31">
          <cell r="K31">
            <v>33846.91894833</v>
          </cell>
        </row>
      </sheetData>
      <sheetData sheetId="6">
        <row r="31">
          <cell r="K31">
            <v>33846.91894833</v>
          </cell>
        </row>
      </sheetData>
      <sheetData sheetId="7">
        <row r="31">
          <cell r="K31">
            <v>33846.91894833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34"/>
  <sheetViews>
    <sheetView workbookViewId="0">
      <selection activeCell="G1" sqref="G1"/>
    </sheetView>
  </sheetViews>
  <sheetFormatPr defaultRowHeight="12.75" x14ac:dyDescent="0.2"/>
  <cols>
    <col min="1" max="1" width="5" style="34" customWidth="1"/>
    <col min="3" max="3" width="24.7109375" customWidth="1"/>
    <col min="4" max="4" width="6.85546875" style="34" customWidth="1"/>
    <col min="5" max="5" width="8.85546875" style="34" customWidth="1"/>
    <col min="6" max="6" width="7" style="34" customWidth="1"/>
    <col min="7" max="8" width="7.7109375" customWidth="1"/>
    <col min="9" max="9" width="9.28515625" customWidth="1"/>
    <col min="10" max="10" width="8.42578125" customWidth="1"/>
    <col min="11" max="11" width="6.7109375" style="93" customWidth="1"/>
  </cols>
  <sheetData>
    <row r="1" spans="1:12" x14ac:dyDescent="0.2">
      <c r="A1"/>
      <c r="D1"/>
      <c r="E1"/>
      <c r="G1" t="s">
        <v>240</v>
      </c>
    </row>
    <row r="2" spans="1:12" x14ac:dyDescent="0.2">
      <c r="A2"/>
      <c r="D2"/>
      <c r="E2"/>
    </row>
    <row r="3" spans="1:12" x14ac:dyDescent="0.2">
      <c r="A3" s="272" t="s">
        <v>225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</row>
    <row r="4" spans="1:12" x14ac:dyDescent="0.2">
      <c r="A4" s="55"/>
      <c r="B4" s="58"/>
      <c r="C4" s="58"/>
      <c r="D4" s="58"/>
      <c r="E4" s="58"/>
      <c r="F4" s="58"/>
      <c r="G4" s="58"/>
      <c r="H4" s="58"/>
      <c r="I4" s="58"/>
    </row>
    <row r="5" spans="1:12" ht="12.75" customHeight="1" x14ac:dyDescent="0.2">
      <c r="A5" s="274" t="s">
        <v>52</v>
      </c>
      <c r="B5" s="275" t="s">
        <v>0</v>
      </c>
      <c r="C5" s="266"/>
      <c r="D5" s="274" t="s">
        <v>53</v>
      </c>
      <c r="E5" s="274" t="s">
        <v>189</v>
      </c>
      <c r="F5" s="279" t="s">
        <v>55</v>
      </c>
      <c r="G5" s="274" t="s">
        <v>56</v>
      </c>
      <c r="H5" s="1" t="s">
        <v>1</v>
      </c>
      <c r="I5" s="1" t="s">
        <v>3</v>
      </c>
      <c r="J5" s="1" t="s">
        <v>6</v>
      </c>
      <c r="K5" s="123" t="s">
        <v>8</v>
      </c>
    </row>
    <row r="6" spans="1:12" ht="12.75" customHeight="1" x14ac:dyDescent="0.2">
      <c r="A6" s="263"/>
      <c r="B6" s="276"/>
      <c r="C6" s="271"/>
      <c r="D6" s="263"/>
      <c r="E6" s="263"/>
      <c r="F6" s="280"/>
      <c r="G6" s="263"/>
      <c r="H6" s="2" t="s">
        <v>2</v>
      </c>
      <c r="I6" s="2" t="s">
        <v>4</v>
      </c>
      <c r="J6" s="2" t="s">
        <v>7</v>
      </c>
      <c r="K6" s="124" t="s">
        <v>2</v>
      </c>
    </row>
    <row r="7" spans="1:12" ht="24.75" customHeight="1" x14ac:dyDescent="0.2">
      <c r="A7" s="263"/>
      <c r="B7" s="276"/>
      <c r="C7" s="271"/>
      <c r="D7" s="263"/>
      <c r="E7" s="263"/>
      <c r="F7" s="280"/>
      <c r="G7" s="263"/>
      <c r="H7" s="83"/>
      <c r="I7" s="4">
        <v>1.06</v>
      </c>
      <c r="J7" s="4">
        <v>0.7</v>
      </c>
      <c r="K7" s="125"/>
    </row>
    <row r="8" spans="1:12" ht="0.75" hidden="1" customHeight="1" x14ac:dyDescent="0.2">
      <c r="A8" s="264"/>
      <c r="B8" s="277"/>
      <c r="C8" s="278"/>
      <c r="D8" s="264"/>
      <c r="E8" s="264"/>
      <c r="F8" s="281"/>
      <c r="G8" s="264"/>
      <c r="H8" s="7">
        <v>0.15</v>
      </c>
      <c r="I8" s="3" t="s">
        <v>5</v>
      </c>
      <c r="J8" s="3" t="s">
        <v>5</v>
      </c>
      <c r="K8" s="126"/>
    </row>
    <row r="9" spans="1:12" s="63" customFormat="1" ht="66" customHeight="1" x14ac:dyDescent="0.2">
      <c r="A9" s="47">
        <v>1</v>
      </c>
      <c r="B9" s="286" t="s">
        <v>227</v>
      </c>
      <c r="C9" s="284"/>
      <c r="D9" s="47" t="s">
        <v>58</v>
      </c>
      <c r="E9" s="47">
        <v>0.1</v>
      </c>
      <c r="F9" s="47">
        <v>2</v>
      </c>
      <c r="G9" s="46">
        <f t="shared" ref="G9:G16" si="0">F9*E9</f>
        <v>0.2</v>
      </c>
      <c r="H9" s="62">
        <f>58.88*G9</f>
        <v>11.776000000000002</v>
      </c>
      <c r="I9" s="62">
        <f>H9*1.06</f>
        <v>12.482560000000003</v>
      </c>
      <c r="J9" s="62">
        <f>H9*0.7</f>
        <v>8.2431999999999999</v>
      </c>
      <c r="K9" s="127">
        <f>J9+I9+H9</f>
        <v>32.501760000000004</v>
      </c>
    </row>
    <row r="10" spans="1:12" s="63" customFormat="1" ht="24.75" customHeight="1" x14ac:dyDescent="0.2">
      <c r="A10" s="47">
        <v>2</v>
      </c>
      <c r="B10" s="286" t="s">
        <v>228</v>
      </c>
      <c r="C10" s="287"/>
      <c r="D10" s="47" t="s">
        <v>58</v>
      </c>
      <c r="E10" s="47">
        <v>0.06</v>
      </c>
      <c r="F10" s="47">
        <v>2</v>
      </c>
      <c r="G10" s="46">
        <f t="shared" si="0"/>
        <v>0.12</v>
      </c>
      <c r="H10" s="62">
        <f>58.88*G10</f>
        <v>7.0655999999999999</v>
      </c>
      <c r="I10" s="62">
        <f>H10*1.06</f>
        <v>7.4895360000000002</v>
      </c>
      <c r="J10" s="62">
        <f>H10*0.7</f>
        <v>4.9459199999999992</v>
      </c>
      <c r="K10" s="127">
        <f>J10+I10+H10</f>
        <v>19.501055999999998</v>
      </c>
    </row>
    <row r="11" spans="1:12" s="63" customFormat="1" ht="17.25" customHeight="1" x14ac:dyDescent="0.2">
      <c r="A11" s="47">
        <v>3</v>
      </c>
      <c r="B11" s="286" t="s">
        <v>229</v>
      </c>
      <c r="C11" s="288"/>
      <c r="D11" s="47" t="s">
        <v>58</v>
      </c>
      <c r="E11" s="47">
        <v>0.05</v>
      </c>
      <c r="F11" s="47">
        <v>2</v>
      </c>
      <c r="G11" s="46">
        <f t="shared" si="0"/>
        <v>0.1</v>
      </c>
      <c r="H11" s="62">
        <f>58.88*G11</f>
        <v>5.8880000000000008</v>
      </c>
      <c r="I11" s="62">
        <f>H11*1.06</f>
        <v>6.2412800000000015</v>
      </c>
      <c r="J11" s="62">
        <f>H11*0.7</f>
        <v>4.1215999999999999</v>
      </c>
      <c r="K11" s="127">
        <f>J11+I11+H11</f>
        <v>16.250880000000002</v>
      </c>
    </row>
    <row r="12" spans="1:12" s="63" customFormat="1" ht="27.75" customHeight="1" x14ac:dyDescent="0.2">
      <c r="A12" s="47">
        <v>4</v>
      </c>
      <c r="B12" s="286" t="s">
        <v>230</v>
      </c>
      <c r="C12" s="288"/>
      <c r="D12" s="47" t="s">
        <v>58</v>
      </c>
      <c r="E12" s="47">
        <v>0.1</v>
      </c>
      <c r="F12" s="47">
        <v>2</v>
      </c>
      <c r="G12" s="46">
        <f t="shared" si="0"/>
        <v>0.2</v>
      </c>
      <c r="H12" s="62">
        <f>58.88*G12</f>
        <v>11.776000000000002</v>
      </c>
      <c r="I12" s="62">
        <f>H12*1.06</f>
        <v>12.482560000000003</v>
      </c>
      <c r="J12" s="62">
        <f>H12*0.7</f>
        <v>8.2431999999999999</v>
      </c>
      <c r="K12" s="127">
        <f>J12+I12+H12</f>
        <v>32.501760000000004</v>
      </c>
    </row>
    <row r="13" spans="1:12" s="63" customFormat="1" ht="18" customHeight="1" x14ac:dyDescent="0.2">
      <c r="A13" s="47">
        <v>5</v>
      </c>
      <c r="B13" s="286" t="s">
        <v>232</v>
      </c>
      <c r="C13" s="287"/>
      <c r="D13" s="47" t="s">
        <v>58</v>
      </c>
      <c r="E13" s="47">
        <v>0.05</v>
      </c>
      <c r="F13" s="47">
        <v>2</v>
      </c>
      <c r="G13" s="46">
        <f t="shared" si="0"/>
        <v>0.1</v>
      </c>
      <c r="H13" s="62">
        <f t="shared" ref="H13:I16" si="1">F13*0.7</f>
        <v>1.4</v>
      </c>
      <c r="I13" s="62">
        <f t="shared" si="1"/>
        <v>6.9999999999999993E-2</v>
      </c>
      <c r="J13" s="127">
        <f>I13+H13+G13</f>
        <v>1.57</v>
      </c>
      <c r="K13" s="88"/>
    </row>
    <row r="14" spans="1:12" s="63" customFormat="1" ht="25.5" customHeight="1" x14ac:dyDescent="0.2">
      <c r="A14" s="47">
        <v>6</v>
      </c>
      <c r="B14" s="286" t="s">
        <v>233</v>
      </c>
      <c r="C14" s="287"/>
      <c r="D14" s="47" t="s">
        <v>58</v>
      </c>
      <c r="E14" s="47">
        <v>0.05</v>
      </c>
      <c r="F14" s="47">
        <v>2</v>
      </c>
      <c r="G14" s="46">
        <f t="shared" si="0"/>
        <v>0.1</v>
      </c>
      <c r="H14" s="62">
        <f t="shared" si="1"/>
        <v>1.4</v>
      </c>
      <c r="I14" s="62">
        <f t="shared" si="1"/>
        <v>6.9999999999999993E-2</v>
      </c>
      <c r="J14" s="127">
        <f>I14+H14+G14</f>
        <v>1.57</v>
      </c>
      <c r="K14" s="88"/>
    </row>
    <row r="15" spans="1:12" s="63" customFormat="1" ht="39.75" customHeight="1" x14ac:dyDescent="0.2">
      <c r="A15" s="47">
        <v>7</v>
      </c>
      <c r="B15" s="286" t="s">
        <v>234</v>
      </c>
      <c r="C15" s="287"/>
      <c r="D15" s="47" t="s">
        <v>58</v>
      </c>
      <c r="E15" s="47">
        <v>0.05</v>
      </c>
      <c r="F15" s="47">
        <v>2</v>
      </c>
      <c r="G15" s="46">
        <f t="shared" si="0"/>
        <v>0.1</v>
      </c>
      <c r="H15" s="62">
        <f t="shared" si="1"/>
        <v>1.4</v>
      </c>
      <c r="I15" s="62">
        <f t="shared" si="1"/>
        <v>6.9999999999999993E-2</v>
      </c>
      <c r="J15" s="127">
        <f>I15+H15+G15</f>
        <v>1.57</v>
      </c>
      <c r="K15" s="88"/>
    </row>
    <row r="16" spans="1:12" s="63" customFormat="1" ht="25.5" customHeight="1" x14ac:dyDescent="0.2">
      <c r="A16" s="47">
        <v>8</v>
      </c>
      <c r="B16" s="286" t="s">
        <v>101</v>
      </c>
      <c r="C16" s="287"/>
      <c r="D16" s="47" t="s">
        <v>58</v>
      </c>
      <c r="E16" s="47">
        <v>0.04</v>
      </c>
      <c r="F16" s="47">
        <v>2</v>
      </c>
      <c r="G16" s="46">
        <f t="shared" si="0"/>
        <v>0.08</v>
      </c>
      <c r="H16" s="62">
        <f t="shared" si="1"/>
        <v>1.4</v>
      </c>
      <c r="I16" s="62">
        <f t="shared" si="1"/>
        <v>5.5999999999999994E-2</v>
      </c>
      <c r="J16" s="127">
        <f>I16+H16+G16</f>
        <v>1.536</v>
      </c>
      <c r="K16" s="88"/>
    </row>
    <row r="17" spans="1:13" ht="15" customHeight="1" x14ac:dyDescent="0.2">
      <c r="A17" s="21"/>
      <c r="B17" s="289" t="s">
        <v>143</v>
      </c>
      <c r="C17" s="284"/>
      <c r="D17" s="22"/>
      <c r="E17" s="21"/>
      <c r="F17" s="140"/>
      <c r="G17" s="22">
        <f>SUM(G9:G16)</f>
        <v>1</v>
      </c>
      <c r="H17" s="78">
        <f>SUM(H9:H12)</f>
        <v>36.505600000000001</v>
      </c>
      <c r="I17" s="23">
        <f>SUM(I9:I12)</f>
        <v>38.695936000000003</v>
      </c>
      <c r="J17" s="23">
        <f>SUM(J9:J12)</f>
        <v>25.553919999999998</v>
      </c>
      <c r="K17" s="128">
        <f>SUM(K9:K12)</f>
        <v>100.75545600000001</v>
      </c>
      <c r="L17" s="71"/>
    </row>
    <row r="18" spans="1:13" x14ac:dyDescent="0.2">
      <c r="A18" s="262"/>
      <c r="B18" s="265" t="s">
        <v>236</v>
      </c>
      <c r="C18" s="266"/>
      <c r="D18" s="262"/>
      <c r="E18" s="285"/>
      <c r="F18" s="267"/>
      <c r="G18" s="137">
        <f>G17*1.15</f>
        <v>1.1499999999999999</v>
      </c>
      <c r="H18" s="137">
        <f>G18*58.88</f>
        <v>67.712000000000003</v>
      </c>
      <c r="I18" s="137">
        <f>H18*1.06</f>
        <v>71.774720000000002</v>
      </c>
      <c r="J18" s="137">
        <f>H18*0.7</f>
        <v>47.398400000000002</v>
      </c>
      <c r="K18" s="129">
        <f>J18+I18+H18</f>
        <v>186.88512000000003</v>
      </c>
      <c r="L18" s="71"/>
      <c r="M18">
        <f>G18/8</f>
        <v>0.14374999999999999</v>
      </c>
    </row>
    <row r="19" spans="1:13" x14ac:dyDescent="0.2">
      <c r="A19" s="263"/>
      <c r="B19" s="270" t="s">
        <v>47</v>
      </c>
      <c r="C19" s="271"/>
      <c r="D19" s="263"/>
      <c r="E19" s="276"/>
      <c r="F19" s="268"/>
      <c r="G19" s="15"/>
      <c r="H19" s="29"/>
      <c r="I19" s="29"/>
      <c r="J19" s="29"/>
      <c r="K19" s="130"/>
    </row>
    <row r="20" spans="1:13" x14ac:dyDescent="0.2">
      <c r="A20" s="264"/>
      <c r="B20" s="282" t="s">
        <v>48</v>
      </c>
      <c r="C20" s="278"/>
      <c r="D20" s="264"/>
      <c r="E20" s="277"/>
      <c r="F20" s="269"/>
      <c r="G20" s="16"/>
      <c r="H20" s="28"/>
      <c r="I20" s="28"/>
      <c r="J20" s="28"/>
      <c r="K20" s="131"/>
    </row>
    <row r="21" spans="1:13" ht="24.75" customHeight="1" x14ac:dyDescent="0.2">
      <c r="A21" s="20"/>
      <c r="B21" s="283" t="s">
        <v>220</v>
      </c>
      <c r="C21" s="284"/>
      <c r="D21" s="43"/>
      <c r="E21" s="20"/>
      <c r="F21" s="20"/>
      <c r="G21" s="20"/>
      <c r="H21" s="18"/>
      <c r="I21" s="19"/>
      <c r="J21" s="19"/>
      <c r="K21" s="131">
        <f>K18*3/100</f>
        <v>5.6065536000000007</v>
      </c>
    </row>
    <row r="22" spans="1:13" ht="25.5" customHeight="1" x14ac:dyDescent="0.2">
      <c r="A22" s="20"/>
      <c r="B22" s="283" t="s">
        <v>185</v>
      </c>
      <c r="C22" s="284"/>
      <c r="D22" s="43"/>
      <c r="E22" s="20"/>
      <c r="F22" s="20"/>
      <c r="G22" s="20"/>
      <c r="H22" s="18"/>
      <c r="I22" s="19"/>
      <c r="J22" s="19"/>
      <c r="K22" s="131">
        <f>K21*0.14</f>
        <v>0.78491750400000015</v>
      </c>
    </row>
    <row r="23" spans="1:13" x14ac:dyDescent="0.2">
      <c r="A23" s="20"/>
      <c r="B23" s="293" t="s">
        <v>49</v>
      </c>
      <c r="C23" s="284"/>
      <c r="D23" s="20" t="s">
        <v>121</v>
      </c>
      <c r="E23" s="20"/>
      <c r="F23" s="20"/>
      <c r="G23" s="35">
        <v>0.14000000000000001</v>
      </c>
      <c r="H23" s="294" t="s">
        <v>235</v>
      </c>
      <c r="I23" s="295"/>
      <c r="J23" s="284"/>
      <c r="K23" s="132">
        <f>0.14*350</f>
        <v>49.000000000000007</v>
      </c>
    </row>
    <row r="24" spans="1:13" x14ac:dyDescent="0.2">
      <c r="A24" s="20"/>
      <c r="B24" s="282" t="s">
        <v>50</v>
      </c>
      <c r="C24" s="296"/>
      <c r="D24" s="20" t="s">
        <v>51</v>
      </c>
      <c r="E24" s="20"/>
      <c r="F24" s="20">
        <v>2</v>
      </c>
      <c r="G24" s="18"/>
      <c r="H24" s="294" t="s">
        <v>237</v>
      </c>
      <c r="I24" s="295"/>
      <c r="J24" s="284"/>
      <c r="K24" s="92">
        <f>360/50*2*380/6</f>
        <v>912</v>
      </c>
    </row>
    <row r="25" spans="1:13" x14ac:dyDescent="0.2">
      <c r="A25" s="20"/>
      <c r="B25" s="290" t="s">
        <v>226</v>
      </c>
      <c r="C25" s="284"/>
      <c r="D25" s="37"/>
      <c r="E25" s="37"/>
      <c r="F25" s="37"/>
      <c r="G25" s="57"/>
      <c r="H25" s="33"/>
      <c r="I25" s="33"/>
      <c r="J25" s="33"/>
      <c r="K25" s="133">
        <f>K24+K23+K22+K21+K18</f>
        <v>1154.2765911040001</v>
      </c>
    </row>
    <row r="26" spans="1:13" ht="12.75" customHeight="1" x14ac:dyDescent="0.2">
      <c r="A26" s="20"/>
      <c r="B26" s="291" t="s">
        <v>238</v>
      </c>
      <c r="C26" s="292"/>
      <c r="D26" s="37"/>
      <c r="E26" s="37"/>
      <c r="F26" s="37"/>
      <c r="G26" s="57"/>
      <c r="H26" s="33"/>
      <c r="I26" s="33"/>
      <c r="J26" s="33"/>
      <c r="K26" s="133">
        <f>K25*12</f>
        <v>13851.319093248001</v>
      </c>
    </row>
    <row r="27" spans="1:13" x14ac:dyDescent="0.2">
      <c r="A27" s="58"/>
      <c r="B27" s="67"/>
      <c r="C27" s="70"/>
      <c r="D27" s="55"/>
      <c r="E27" s="55"/>
      <c r="F27" s="55"/>
      <c r="G27" s="68"/>
      <c r="H27" s="56"/>
      <c r="I27" s="56"/>
      <c r="J27" s="56"/>
      <c r="K27" s="135"/>
    </row>
    <row r="28" spans="1:13" x14ac:dyDescent="0.2">
      <c r="A28" s="65"/>
      <c r="B28" s="82"/>
      <c r="C28" s="82"/>
      <c r="D28" s="82"/>
      <c r="E28" s="82"/>
      <c r="G28" s="82"/>
      <c r="H28" s="84"/>
      <c r="I28" s="84"/>
      <c r="J28" s="84"/>
      <c r="K28" s="134"/>
    </row>
    <row r="29" spans="1:13" x14ac:dyDescent="0.2">
      <c r="A29" s="65"/>
      <c r="B29" s="66" t="s">
        <v>231</v>
      </c>
      <c r="C29" s="66"/>
      <c r="D29" s="66"/>
      <c r="E29" s="66"/>
      <c r="F29" s="55"/>
      <c r="G29" s="55"/>
      <c r="H29" s="84"/>
      <c r="I29" s="84"/>
      <c r="J29" s="84"/>
      <c r="K29" s="84"/>
    </row>
    <row r="30" spans="1:13" x14ac:dyDescent="0.2">
      <c r="H30" s="84"/>
      <c r="I30" s="84"/>
      <c r="J30" s="84"/>
      <c r="K30" s="134"/>
    </row>
    <row r="31" spans="1:13" x14ac:dyDescent="0.2">
      <c r="A31" t="s">
        <v>75</v>
      </c>
      <c r="D31"/>
      <c r="E31"/>
      <c r="F31" s="34" t="s">
        <v>76</v>
      </c>
      <c r="H31" s="84"/>
      <c r="I31" s="84"/>
      <c r="J31" s="84"/>
      <c r="K31" s="134"/>
    </row>
    <row r="32" spans="1:13" x14ac:dyDescent="0.2">
      <c r="A32" t="s">
        <v>77</v>
      </c>
      <c r="D32"/>
      <c r="E32"/>
      <c r="F32" s="34" t="s">
        <v>79</v>
      </c>
      <c r="H32" s="84"/>
      <c r="I32" s="84"/>
      <c r="J32" s="84"/>
      <c r="K32" s="134"/>
    </row>
    <row r="33" spans="1:11" x14ac:dyDescent="0.2">
      <c r="A33" t="s">
        <v>78</v>
      </c>
      <c r="D33"/>
      <c r="E33"/>
      <c r="F33" s="34" t="s">
        <v>80</v>
      </c>
      <c r="H33" s="84"/>
      <c r="I33" s="84"/>
      <c r="J33" s="84"/>
      <c r="K33" s="134"/>
    </row>
    <row r="34" spans="1:11" x14ac:dyDescent="0.2">
      <c r="A34" t="s">
        <v>82</v>
      </c>
      <c r="D34"/>
      <c r="E34"/>
      <c r="F34" s="34" t="s">
        <v>81</v>
      </c>
      <c r="H34" s="84"/>
      <c r="I34" s="84"/>
      <c r="J34" s="84"/>
      <c r="K34" s="134"/>
    </row>
  </sheetData>
  <mergeCells count="31">
    <mergeCell ref="B25:C25"/>
    <mergeCell ref="B26:C26"/>
    <mergeCell ref="B22:C22"/>
    <mergeCell ref="B23:C23"/>
    <mergeCell ref="H23:J23"/>
    <mergeCell ref="B24:C24"/>
    <mergeCell ref="H24:J24"/>
    <mergeCell ref="B21:C21"/>
    <mergeCell ref="E18:E20"/>
    <mergeCell ref="B9:C9"/>
    <mergeCell ref="B10:C10"/>
    <mergeCell ref="B11:C11"/>
    <mergeCell ref="B12:C12"/>
    <mergeCell ref="B14:C14"/>
    <mergeCell ref="D18:D20"/>
    <mergeCell ref="B13:C13"/>
    <mergeCell ref="B15:C15"/>
    <mergeCell ref="B16:C16"/>
    <mergeCell ref="B17:C17"/>
    <mergeCell ref="A18:A20"/>
    <mergeCell ref="B18:C18"/>
    <mergeCell ref="F18:F20"/>
    <mergeCell ref="B19:C19"/>
    <mergeCell ref="A3:L3"/>
    <mergeCell ref="A5:A8"/>
    <mergeCell ref="B5:C8"/>
    <mergeCell ref="D5:D8"/>
    <mergeCell ref="E5:E8"/>
    <mergeCell ref="F5:F8"/>
    <mergeCell ref="G5:G8"/>
    <mergeCell ref="B20:C20"/>
  </mergeCells>
  <phoneticPr fontId="3" type="noConversion"/>
  <pageMargins left="0.19685039370078741" right="0.19685039370078741" top="7.874015748031496E-2" bottom="7.874015748031496E-2" header="0" footer="0"/>
  <pageSetup paperSize="9"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B1" workbookViewId="0">
      <selection activeCell="I26" sqref="I26"/>
    </sheetView>
  </sheetViews>
  <sheetFormatPr defaultRowHeight="12.75" x14ac:dyDescent="0.2"/>
  <cols>
    <col min="1" max="1" width="5.85546875" style="100" customWidth="1"/>
    <col min="2" max="2" width="15.7109375" style="100" customWidth="1"/>
    <col min="3" max="3" width="10.7109375" style="101" customWidth="1"/>
    <col min="4" max="4" width="6.28515625" style="101" customWidth="1"/>
    <col min="5" max="5" width="13.140625" style="101" customWidth="1"/>
    <col min="6" max="6" width="6.85546875" style="101" customWidth="1"/>
    <col min="7" max="7" width="12.42578125" style="101" customWidth="1"/>
    <col min="8" max="8" width="7.140625" style="101" customWidth="1"/>
    <col min="9" max="9" width="12.28515625" style="101" customWidth="1"/>
    <col min="10" max="10" width="6.5703125" style="101" customWidth="1"/>
    <col min="11" max="11" width="12.28515625" style="101" customWidth="1"/>
    <col min="12" max="12" width="7.85546875" style="101" customWidth="1"/>
    <col min="13" max="13" width="12.5703125" style="101" customWidth="1"/>
    <col min="14" max="14" width="12.28515625" style="101" customWidth="1"/>
    <col min="15" max="16384" width="9.140625" style="100"/>
  </cols>
  <sheetData>
    <row r="1" spans="1:14" x14ac:dyDescent="0.2">
      <c r="K1" s="362" t="s">
        <v>195</v>
      </c>
      <c r="L1" s="362"/>
      <c r="M1" s="362"/>
      <c r="N1" s="362"/>
    </row>
    <row r="3" spans="1:14" x14ac:dyDescent="0.2">
      <c r="C3" s="363" t="s">
        <v>222</v>
      </c>
      <c r="D3" s="363"/>
      <c r="E3" s="363"/>
      <c r="F3" s="363"/>
      <c r="G3" s="363"/>
      <c r="H3" s="363"/>
      <c r="I3" s="363"/>
      <c r="J3" s="363"/>
      <c r="K3" s="363"/>
      <c r="L3" s="363"/>
      <c r="M3" s="363"/>
    </row>
    <row r="4" spans="1:14" x14ac:dyDescent="0.2">
      <c r="C4" s="363" t="s">
        <v>190</v>
      </c>
      <c r="D4" s="363"/>
      <c r="E4" s="363"/>
      <c r="F4" s="363"/>
      <c r="G4" s="363"/>
      <c r="H4" s="363"/>
      <c r="I4" s="363"/>
      <c r="J4" s="363"/>
      <c r="K4" s="363"/>
      <c r="L4" s="363"/>
      <c r="M4" s="363"/>
    </row>
    <row r="6" spans="1:14" s="104" customFormat="1" ht="51" x14ac:dyDescent="0.2">
      <c r="A6" s="102" t="s">
        <v>52</v>
      </c>
      <c r="B6" s="103" t="s">
        <v>125</v>
      </c>
      <c r="C6" s="103" t="s">
        <v>221</v>
      </c>
      <c r="D6" s="364" t="s">
        <v>127</v>
      </c>
      <c r="E6" s="364"/>
      <c r="F6" s="364" t="s">
        <v>128</v>
      </c>
      <c r="G6" s="364"/>
      <c r="H6" s="364" t="s">
        <v>130</v>
      </c>
      <c r="I6" s="364"/>
      <c r="J6" s="364" t="s">
        <v>129</v>
      </c>
      <c r="K6" s="364"/>
      <c r="L6" s="364" t="s">
        <v>131</v>
      </c>
      <c r="M6" s="364"/>
      <c r="N6" s="103" t="s">
        <v>134</v>
      </c>
    </row>
    <row r="7" spans="1:14" x14ac:dyDescent="0.2">
      <c r="A7" s="360"/>
      <c r="B7" s="360"/>
      <c r="C7" s="105"/>
      <c r="D7" s="105"/>
      <c r="E7" s="105" t="s">
        <v>135</v>
      </c>
      <c r="F7" s="105"/>
      <c r="G7" s="105" t="s">
        <v>135</v>
      </c>
      <c r="H7" s="105"/>
      <c r="I7" s="105" t="s">
        <v>135</v>
      </c>
      <c r="J7" s="105"/>
      <c r="K7" s="105" t="s">
        <v>135</v>
      </c>
      <c r="L7" s="105"/>
      <c r="M7" s="105" t="s">
        <v>135</v>
      </c>
      <c r="N7" s="105"/>
    </row>
    <row r="8" spans="1:14" s="107" customFormat="1" x14ac:dyDescent="0.2">
      <c r="A8" s="361" t="s">
        <v>216</v>
      </c>
      <c r="B8" s="361"/>
      <c r="C8" s="106">
        <v>15</v>
      </c>
      <c r="D8" s="106">
        <v>1</v>
      </c>
      <c r="E8" s="106"/>
      <c r="F8" s="106">
        <v>2</v>
      </c>
      <c r="G8" s="106"/>
      <c r="H8" s="106">
        <v>1</v>
      </c>
      <c r="I8" s="106"/>
      <c r="J8" s="106">
        <v>1</v>
      </c>
      <c r="K8" s="106"/>
      <c r="L8" s="106">
        <v>10</v>
      </c>
      <c r="M8" s="106"/>
      <c r="N8" s="106"/>
    </row>
    <row r="9" spans="1:14" x14ac:dyDescent="0.2">
      <c r="A9" s="105">
        <v>1</v>
      </c>
      <c r="B9" s="108" t="s">
        <v>132</v>
      </c>
      <c r="C9" s="105">
        <f>N9/30</f>
        <v>1488.2</v>
      </c>
      <c r="D9" s="105">
        <v>2</v>
      </c>
      <c r="E9" s="105">
        <v>2176</v>
      </c>
      <c r="F9" s="105">
        <v>4</v>
      </c>
      <c r="G9" s="105">
        <v>4352</v>
      </c>
      <c r="H9" s="105">
        <v>2</v>
      </c>
      <c r="I9" s="105">
        <v>4456</v>
      </c>
      <c r="J9" s="105">
        <v>2</v>
      </c>
      <c r="K9" s="105">
        <v>3797</v>
      </c>
      <c r="L9" s="105">
        <v>20</v>
      </c>
      <c r="M9" s="105">
        <v>29865</v>
      </c>
      <c r="N9" s="105">
        <f>M9+K9+I9+G9+E9</f>
        <v>44646</v>
      </c>
    </row>
    <row r="10" spans="1:14" x14ac:dyDescent="0.2">
      <c r="A10" s="105">
        <v>2</v>
      </c>
      <c r="B10" s="108" t="s">
        <v>133</v>
      </c>
      <c r="C10" s="105">
        <f>N10/15</f>
        <v>2027.3333333333333</v>
      </c>
      <c r="D10" s="105">
        <v>1</v>
      </c>
      <c r="E10" s="105">
        <v>1627</v>
      </c>
      <c r="F10" s="105">
        <v>2</v>
      </c>
      <c r="G10" s="105">
        <v>3254</v>
      </c>
      <c r="H10" s="105">
        <v>1</v>
      </c>
      <c r="I10" s="105">
        <v>2767</v>
      </c>
      <c r="J10" s="105">
        <v>1</v>
      </c>
      <c r="K10" s="105">
        <v>2438</v>
      </c>
      <c r="L10" s="105">
        <v>10</v>
      </c>
      <c r="M10" s="105">
        <v>20324</v>
      </c>
      <c r="N10" s="105">
        <f>M10+K10+I10+G10+E10</f>
        <v>30410</v>
      </c>
    </row>
    <row r="11" spans="1:14" s="107" customFormat="1" x14ac:dyDescent="0.2">
      <c r="A11" s="361" t="s">
        <v>217</v>
      </c>
      <c r="B11" s="361"/>
      <c r="C11" s="106">
        <v>37</v>
      </c>
      <c r="D11" s="106">
        <v>0</v>
      </c>
      <c r="E11" s="106"/>
      <c r="F11" s="106">
        <v>11</v>
      </c>
      <c r="G11" s="106"/>
      <c r="H11" s="106">
        <v>8</v>
      </c>
      <c r="I11" s="106"/>
      <c r="J11" s="106">
        <v>6</v>
      </c>
      <c r="K11" s="106"/>
      <c r="L11" s="106">
        <v>12</v>
      </c>
      <c r="M11" s="106"/>
      <c r="N11" s="106"/>
    </row>
    <row r="12" spans="1:14" x14ac:dyDescent="0.2">
      <c r="A12" s="105">
        <v>3</v>
      </c>
      <c r="B12" s="108" t="s">
        <v>132</v>
      </c>
      <c r="C12" s="105">
        <f>N12/37/2</f>
        <v>1597.3108108108108</v>
      </c>
      <c r="D12" s="105"/>
      <c r="E12" s="105"/>
      <c r="F12" s="105">
        <v>22</v>
      </c>
      <c r="G12" s="105">
        <v>23934</v>
      </c>
      <c r="H12" s="105">
        <v>16</v>
      </c>
      <c r="I12" s="105">
        <v>35646</v>
      </c>
      <c r="J12" s="105">
        <v>12</v>
      </c>
      <c r="K12" s="105">
        <v>22783</v>
      </c>
      <c r="L12" s="105">
        <v>24</v>
      </c>
      <c r="M12" s="105">
        <v>35838</v>
      </c>
      <c r="N12" s="105">
        <f>M12+K12+I12+G12</f>
        <v>118201</v>
      </c>
    </row>
    <row r="13" spans="1:14" x14ac:dyDescent="0.2">
      <c r="A13" s="105">
        <v>4</v>
      </c>
      <c r="B13" s="108" t="s">
        <v>133</v>
      </c>
      <c r="C13" s="105">
        <f>N13/37</f>
        <v>2136.4054054054054</v>
      </c>
      <c r="D13" s="105"/>
      <c r="E13" s="105"/>
      <c r="F13" s="105">
        <v>11</v>
      </c>
      <c r="G13" s="105">
        <v>17897</v>
      </c>
      <c r="H13" s="105">
        <v>8</v>
      </c>
      <c r="I13" s="105">
        <v>22136</v>
      </c>
      <c r="J13" s="105">
        <v>6</v>
      </c>
      <c r="K13" s="105">
        <v>14626</v>
      </c>
      <c r="L13" s="105">
        <v>12</v>
      </c>
      <c r="M13" s="105">
        <v>24388</v>
      </c>
      <c r="N13" s="105">
        <f>M13+K13+I13+G13</f>
        <v>79047</v>
      </c>
    </row>
    <row r="14" spans="1:14" s="107" customFormat="1" x14ac:dyDescent="0.2">
      <c r="A14" s="361" t="s">
        <v>218</v>
      </c>
      <c r="B14" s="361"/>
      <c r="C14" s="106">
        <v>17</v>
      </c>
      <c r="D14" s="106">
        <v>0</v>
      </c>
      <c r="E14" s="106"/>
      <c r="F14" s="106">
        <v>2</v>
      </c>
      <c r="G14" s="106"/>
      <c r="H14" s="106">
        <v>12</v>
      </c>
      <c r="I14" s="106"/>
      <c r="J14" s="106">
        <v>0</v>
      </c>
      <c r="K14" s="106"/>
      <c r="L14" s="106">
        <v>3</v>
      </c>
      <c r="M14" s="106"/>
      <c r="N14" s="106"/>
    </row>
    <row r="15" spans="1:14" x14ac:dyDescent="0.2">
      <c r="A15" s="105">
        <v>5</v>
      </c>
      <c r="B15" s="108" t="s">
        <v>132</v>
      </c>
      <c r="C15" s="105">
        <f>N15/17/2</f>
        <v>1964.1470588235295</v>
      </c>
      <c r="D15" s="105"/>
      <c r="E15" s="105"/>
      <c r="F15" s="105">
        <v>4</v>
      </c>
      <c r="G15" s="105">
        <v>4352</v>
      </c>
      <c r="H15" s="105">
        <v>24</v>
      </c>
      <c r="I15" s="105">
        <v>53470</v>
      </c>
      <c r="J15" s="105"/>
      <c r="K15" s="105"/>
      <c r="L15" s="105">
        <v>6</v>
      </c>
      <c r="M15" s="105">
        <v>8959</v>
      </c>
      <c r="N15" s="105">
        <f>M15+I15+G15</f>
        <v>66781</v>
      </c>
    </row>
    <row r="16" spans="1:14" x14ac:dyDescent="0.2">
      <c r="A16" s="105">
        <v>6</v>
      </c>
      <c r="B16" s="108" t="s">
        <v>133</v>
      </c>
      <c r="C16" s="105">
        <f>N16/17</f>
        <v>2503.2352941176468</v>
      </c>
      <c r="D16" s="105"/>
      <c r="E16" s="105"/>
      <c r="F16" s="105">
        <v>2</v>
      </c>
      <c r="G16" s="105">
        <v>3254</v>
      </c>
      <c r="H16" s="105">
        <v>12</v>
      </c>
      <c r="I16" s="105">
        <v>33204</v>
      </c>
      <c r="J16" s="105"/>
      <c r="K16" s="105"/>
      <c r="L16" s="105">
        <v>3</v>
      </c>
      <c r="M16" s="105">
        <v>6097</v>
      </c>
      <c r="N16" s="105">
        <f>M16+I16+G16</f>
        <v>42555</v>
      </c>
    </row>
    <row r="17" spans="1:14" s="107" customFormat="1" ht="15" x14ac:dyDescent="0.25">
      <c r="A17" s="359" t="s">
        <v>8</v>
      </c>
      <c r="B17" s="359"/>
      <c r="C17" s="106">
        <f>C14+C11+C8</f>
        <v>69</v>
      </c>
      <c r="D17" s="106">
        <v>1</v>
      </c>
      <c r="E17" s="105">
        <f>SUM(E8:E16)</f>
        <v>3803</v>
      </c>
      <c r="F17" s="106">
        <v>15</v>
      </c>
      <c r="G17" s="105">
        <f>SUM(G8:G16)</f>
        <v>57043</v>
      </c>
      <c r="H17" s="106">
        <v>21</v>
      </c>
      <c r="I17" s="105">
        <f>SUM(I8:I16)</f>
        <v>151679</v>
      </c>
      <c r="J17" s="106">
        <v>7</v>
      </c>
      <c r="K17" s="105">
        <f>SUM(K8:K16)</f>
        <v>43644</v>
      </c>
      <c r="L17" s="106">
        <v>25</v>
      </c>
      <c r="M17" s="105">
        <f>SUM(M8:M16)</f>
        <v>125471</v>
      </c>
      <c r="N17" s="106">
        <f>SUM(N9:N16)</f>
        <v>381640</v>
      </c>
    </row>
    <row r="18" spans="1:14" x14ac:dyDescent="0.2">
      <c r="F18" s="138"/>
      <c r="G18" s="139"/>
      <c r="H18" s="138"/>
    </row>
    <row r="19" spans="1:14" x14ac:dyDescent="0.2">
      <c r="F19" s="138"/>
      <c r="G19" s="138"/>
      <c r="H19" s="138"/>
    </row>
    <row r="22" spans="1:14" s="109" customFormat="1" ht="14.25" x14ac:dyDescent="0.2">
      <c r="B22" s="109" t="s">
        <v>191</v>
      </c>
      <c r="C22" s="110"/>
      <c r="D22" s="110"/>
      <c r="E22" s="110"/>
      <c r="F22" s="110"/>
      <c r="G22" s="110" t="s">
        <v>192</v>
      </c>
      <c r="H22" s="110"/>
      <c r="I22" s="110"/>
      <c r="J22" s="110"/>
      <c r="K22" s="110"/>
      <c r="L22" s="110"/>
      <c r="M22" s="110"/>
      <c r="N22" s="110"/>
    </row>
  </sheetData>
  <mergeCells count="13">
    <mergeCell ref="K1:N1"/>
    <mergeCell ref="C3:M3"/>
    <mergeCell ref="C4:M4"/>
    <mergeCell ref="D6:E6"/>
    <mergeCell ref="F6:G6"/>
    <mergeCell ref="H6:I6"/>
    <mergeCell ref="J6:K6"/>
    <mergeCell ref="L6:M6"/>
    <mergeCell ref="A17:B17"/>
    <mergeCell ref="A7:B7"/>
    <mergeCell ref="A8:B8"/>
    <mergeCell ref="A11:B11"/>
    <mergeCell ref="A14:B14"/>
  </mergeCells>
  <phoneticPr fontId="3" type="noConversion"/>
  <pageMargins left="0.19685039370078741" right="0.19685039370078741" top="0.78740157480314965" bottom="0.78740157480314965" header="0.11811023622047245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8"/>
  <sheetViews>
    <sheetView workbookViewId="0">
      <selection activeCell="K17" sqref="K17"/>
    </sheetView>
  </sheetViews>
  <sheetFormatPr defaultRowHeight="12.75" x14ac:dyDescent="0.2"/>
  <cols>
    <col min="1" max="1" width="5.85546875" style="100" customWidth="1"/>
    <col min="2" max="2" width="15.7109375" style="100" customWidth="1"/>
    <col min="3" max="3" width="14.5703125" style="101" customWidth="1"/>
    <col min="4" max="4" width="8.7109375" style="101" customWidth="1"/>
    <col min="5" max="5" width="14.28515625" style="101" customWidth="1"/>
    <col min="6" max="6" width="8.85546875" style="101" customWidth="1"/>
    <col min="7" max="7" width="12.42578125" style="101" customWidth="1"/>
    <col min="8" max="8" width="8.7109375" style="101" customWidth="1"/>
    <col min="9" max="9" width="12.28515625" style="101" customWidth="1"/>
    <col min="10" max="10" width="9.140625" style="101" customWidth="1"/>
    <col min="11" max="11" width="12.5703125" style="101" customWidth="1"/>
    <col min="12" max="12" width="12.28515625" style="101" customWidth="1"/>
    <col min="13" max="16384" width="9.140625" style="100"/>
  </cols>
  <sheetData>
    <row r="1" spans="1:12" x14ac:dyDescent="0.2">
      <c r="J1" s="362" t="s">
        <v>195</v>
      </c>
      <c r="K1" s="362"/>
      <c r="L1" s="362"/>
    </row>
    <row r="3" spans="1:12" x14ac:dyDescent="0.2">
      <c r="C3" s="363" t="s">
        <v>245</v>
      </c>
      <c r="D3" s="363"/>
      <c r="E3" s="363"/>
      <c r="F3" s="363"/>
      <c r="G3" s="363"/>
      <c r="H3" s="363"/>
      <c r="I3" s="363"/>
      <c r="J3" s="363"/>
      <c r="K3" s="363"/>
    </row>
    <row r="4" spans="1:12" x14ac:dyDescent="0.2">
      <c r="C4" s="363" t="s">
        <v>190</v>
      </c>
      <c r="D4" s="363"/>
      <c r="E4" s="363"/>
      <c r="F4" s="363"/>
      <c r="G4" s="363"/>
      <c r="H4" s="363"/>
      <c r="I4" s="363"/>
      <c r="J4" s="363"/>
      <c r="K4" s="363"/>
    </row>
    <row r="6" spans="1:12" s="104" customFormat="1" ht="51" customHeight="1" x14ac:dyDescent="0.2">
      <c r="A6" s="102" t="s">
        <v>52</v>
      </c>
      <c r="B6" s="103" t="s">
        <v>125</v>
      </c>
      <c r="C6" s="103" t="s">
        <v>126</v>
      </c>
      <c r="D6" s="364" t="s">
        <v>241</v>
      </c>
      <c r="E6" s="364"/>
      <c r="F6" s="364" t="s">
        <v>242</v>
      </c>
      <c r="G6" s="364"/>
      <c r="H6" s="364" t="s">
        <v>243</v>
      </c>
      <c r="I6" s="364"/>
      <c r="J6" s="364" t="s">
        <v>244</v>
      </c>
      <c r="K6" s="364"/>
      <c r="L6" s="103" t="s">
        <v>134</v>
      </c>
    </row>
    <row r="7" spans="1:12" x14ac:dyDescent="0.2">
      <c r="A7" s="360"/>
      <c r="B7" s="360"/>
      <c r="C7" s="105"/>
      <c r="D7" s="105"/>
      <c r="E7" s="105" t="s">
        <v>135</v>
      </c>
      <c r="F7" s="105"/>
      <c r="G7" s="105" t="s">
        <v>135</v>
      </c>
      <c r="H7" s="105"/>
      <c r="I7" s="105" t="s">
        <v>135</v>
      </c>
      <c r="J7" s="105"/>
      <c r="K7" s="105" t="s">
        <v>135</v>
      </c>
      <c r="L7" s="105"/>
    </row>
    <row r="8" spans="1:12" s="107" customFormat="1" x14ac:dyDescent="0.2">
      <c r="A8" s="361" t="s">
        <v>124</v>
      </c>
      <c r="B8" s="361"/>
      <c r="C8" s="106">
        <v>4</v>
      </c>
      <c r="D8" s="106">
        <v>2</v>
      </c>
      <c r="E8" s="106"/>
      <c r="F8" s="106">
        <v>2</v>
      </c>
      <c r="G8" s="106"/>
      <c r="H8" s="106"/>
      <c r="I8" s="106"/>
      <c r="J8" s="106">
        <v>1</v>
      </c>
      <c r="K8" s="106"/>
      <c r="L8" s="106"/>
    </row>
    <row r="9" spans="1:12" x14ac:dyDescent="0.2">
      <c r="A9" s="105">
        <v>1</v>
      </c>
      <c r="B9" s="108" t="s">
        <v>132</v>
      </c>
      <c r="C9" s="105">
        <f>L9/10</f>
        <v>12890.805792959998</v>
      </c>
      <c r="D9" s="105">
        <v>4</v>
      </c>
      <c r="E9" s="105">
        <f>'[1]Северокам 400'!$K$58*D9</f>
        <v>64454.028964799989</v>
      </c>
      <c r="F9" s="105">
        <v>4</v>
      </c>
      <c r="G9" s="105">
        <f>'[1]Кунгур 400'!$K$58*F9</f>
        <v>64454.028964799989</v>
      </c>
      <c r="H9" s="105"/>
      <c r="I9" s="105"/>
      <c r="J9" s="105">
        <v>2</v>
      </c>
      <c r="K9" s="105">
        <f>'[1]Ильин. 400'!$K$59</f>
        <v>0</v>
      </c>
      <c r="L9" s="105">
        <f>K9+G9+E9</f>
        <v>128908.05792959998</v>
      </c>
    </row>
    <row r="10" spans="1:12" x14ac:dyDescent="0.2">
      <c r="A10" s="105">
        <v>2</v>
      </c>
      <c r="B10" s="108" t="s">
        <v>133</v>
      </c>
      <c r="C10" s="105">
        <f>L10/5</f>
        <v>34154.758948329996</v>
      </c>
      <c r="D10" s="105">
        <v>2</v>
      </c>
      <c r="E10" s="105">
        <v>67693.837896659999</v>
      </c>
      <c r="F10" s="105">
        <v>2</v>
      </c>
      <c r="G10" s="105">
        <v>67693.837896659999</v>
      </c>
      <c r="H10" s="105"/>
      <c r="I10" s="105"/>
      <c r="J10" s="105">
        <v>1</v>
      </c>
      <c r="K10" s="105">
        <f>'[2]Ильин.ЦДНГ-5 РВС-400'!$K$31</f>
        <v>35386.118948329997</v>
      </c>
      <c r="L10" s="105">
        <f>K10+G10+E10</f>
        <v>170773.79474165</v>
      </c>
    </row>
    <row r="11" spans="1:12" s="107" customFormat="1" x14ac:dyDescent="0.2">
      <c r="A11" s="361" t="s">
        <v>136</v>
      </c>
      <c r="B11" s="361"/>
      <c r="C11" s="106">
        <v>6</v>
      </c>
      <c r="D11" s="106">
        <v>5</v>
      </c>
      <c r="E11" s="106"/>
      <c r="F11" s="106">
        <v>2</v>
      </c>
      <c r="G11" s="106"/>
      <c r="H11" s="106"/>
      <c r="I11" s="106"/>
      <c r="J11" s="106"/>
      <c r="K11" s="106"/>
      <c r="L11" s="106"/>
    </row>
    <row r="12" spans="1:12" x14ac:dyDescent="0.2">
      <c r="A12" s="105">
        <v>5</v>
      </c>
      <c r="B12" s="108" t="s">
        <v>132</v>
      </c>
      <c r="C12" s="105">
        <f>L12/14</f>
        <v>16113.507241199999</v>
      </c>
      <c r="D12" s="105">
        <v>10</v>
      </c>
      <c r="E12" s="105">
        <f>'[1]Северокам 400'!$K$58*D12</f>
        <v>161135.07241199998</v>
      </c>
      <c r="F12" s="105">
        <v>4</v>
      </c>
      <c r="G12" s="105">
        <f>'[1]Кунгур 400'!$K$58*F12</f>
        <v>64454.028964799989</v>
      </c>
      <c r="H12" s="105"/>
      <c r="I12" s="105"/>
      <c r="J12" s="105"/>
      <c r="K12" s="105"/>
      <c r="L12" s="105">
        <f>G12+E12</f>
        <v>225589.10137679998</v>
      </c>
    </row>
    <row r="13" spans="1:12" x14ac:dyDescent="0.2">
      <c r="A13" s="105">
        <v>6</v>
      </c>
      <c r="B13" s="108" t="s">
        <v>133</v>
      </c>
      <c r="C13" s="105">
        <f>L13/7</f>
        <v>33846.91894833</v>
      </c>
      <c r="D13" s="105">
        <v>5</v>
      </c>
      <c r="E13" s="105">
        <v>169234.59474164998</v>
      </c>
      <c r="F13" s="105">
        <v>2</v>
      </c>
      <c r="G13" s="105">
        <v>67693.837896659999</v>
      </c>
      <c r="H13" s="105"/>
      <c r="I13" s="105"/>
      <c r="J13" s="105"/>
      <c r="K13" s="105"/>
      <c r="L13" s="105">
        <f>G13+E13</f>
        <v>236928.43263830998</v>
      </c>
    </row>
    <row r="14" spans="1:12" s="107" customFormat="1" x14ac:dyDescent="0.2">
      <c r="A14" s="361" t="s">
        <v>137</v>
      </c>
      <c r="B14" s="361"/>
      <c r="C14" s="106">
        <v>13</v>
      </c>
      <c r="D14" s="106">
        <v>5</v>
      </c>
      <c r="E14" s="106"/>
      <c r="F14" s="106">
        <v>2</v>
      </c>
      <c r="G14" s="106"/>
      <c r="H14" s="106"/>
      <c r="I14" s="106"/>
      <c r="J14" s="106">
        <v>6</v>
      </c>
      <c r="K14" s="106"/>
      <c r="L14" s="106"/>
    </row>
    <row r="15" spans="1:12" x14ac:dyDescent="0.2">
      <c r="A15" s="105">
        <v>7</v>
      </c>
      <c r="B15" s="108" t="s">
        <v>132</v>
      </c>
      <c r="C15" s="105">
        <f>L15/26</f>
        <v>17415.907241199999</v>
      </c>
      <c r="D15" s="105">
        <v>10</v>
      </c>
      <c r="E15" s="105">
        <f>'[1]Северок 1000'!$K$58*D15</f>
        <v>176527.07241199998</v>
      </c>
      <c r="F15" s="105">
        <v>4</v>
      </c>
      <c r="G15" s="105">
        <f>'[1]Кунгур 1000'!$K$58*F15</f>
        <v>64454.028964799989</v>
      </c>
      <c r="H15" s="105"/>
      <c r="I15" s="105"/>
      <c r="J15" s="105">
        <v>12</v>
      </c>
      <c r="K15" s="105">
        <f>[1]Ильин.1000!$K$58*12</f>
        <v>211832.48689439998</v>
      </c>
      <c r="L15" s="105">
        <f>K15+G15+E15</f>
        <v>452813.58827119996</v>
      </c>
    </row>
    <row r="16" spans="1:12" x14ac:dyDescent="0.2">
      <c r="A16" s="105">
        <v>8</v>
      </c>
      <c r="B16" s="108" t="s">
        <v>133</v>
      </c>
      <c r="C16" s="105">
        <f>L16/13</f>
        <v>34557.318948329994</v>
      </c>
      <c r="D16" s="105">
        <v>5</v>
      </c>
      <c r="E16" s="105">
        <v>169234.59474164998</v>
      </c>
      <c r="F16" s="105">
        <v>2</v>
      </c>
      <c r="G16" s="105">
        <v>67693.837896659999</v>
      </c>
      <c r="H16" s="105"/>
      <c r="I16" s="105"/>
      <c r="J16" s="105">
        <v>6</v>
      </c>
      <c r="K16" s="105">
        <v>212316.71368997998</v>
      </c>
      <c r="L16" s="105">
        <f>K16+G16+E16</f>
        <v>449245.14632828993</v>
      </c>
    </row>
    <row r="17" spans="1:12" s="107" customFormat="1" x14ac:dyDescent="0.2">
      <c r="A17" s="361" t="s">
        <v>138</v>
      </c>
      <c r="B17" s="361"/>
      <c r="C17" s="106">
        <v>4</v>
      </c>
      <c r="D17" s="106"/>
      <c r="E17" s="106"/>
      <c r="F17" s="106">
        <v>2</v>
      </c>
      <c r="G17" s="105"/>
      <c r="H17" s="106">
        <v>2</v>
      </c>
      <c r="I17" s="106"/>
      <c r="J17" s="106"/>
      <c r="K17" s="106"/>
      <c r="L17" s="106"/>
    </row>
    <row r="18" spans="1:12" x14ac:dyDescent="0.2">
      <c r="A18" s="105">
        <v>9</v>
      </c>
      <c r="B18" s="108" t="s">
        <v>132</v>
      </c>
      <c r="C18" s="105">
        <f>L18/8</f>
        <v>16883.107241199999</v>
      </c>
      <c r="D18" s="105"/>
      <c r="E18" s="105"/>
      <c r="F18" s="105">
        <v>4</v>
      </c>
      <c r="G18" s="105">
        <f>'[1]Кунгур 1000'!$K$58*F18</f>
        <v>64454.028964799989</v>
      </c>
      <c r="H18" s="105">
        <v>4</v>
      </c>
      <c r="I18" s="105">
        <f>[1]Геж2000!$K$59</f>
        <v>70610.828964799992</v>
      </c>
      <c r="J18" s="105"/>
      <c r="K18" s="105"/>
      <c r="L18" s="105">
        <f>I18+G18</f>
        <v>135064.8579296</v>
      </c>
    </row>
    <row r="19" spans="1:12" x14ac:dyDescent="0.2">
      <c r="A19" s="105">
        <v>10</v>
      </c>
      <c r="B19" s="108" t="s">
        <v>133</v>
      </c>
      <c r="C19" s="105">
        <f>L19/4</f>
        <v>34496.226619644396</v>
      </c>
      <c r="D19" s="105"/>
      <c r="E19" s="105"/>
      <c r="F19" s="105">
        <v>2</v>
      </c>
      <c r="G19" s="105">
        <v>67693.837896659999</v>
      </c>
      <c r="H19" s="105">
        <v>2</v>
      </c>
      <c r="I19" s="105">
        <f>'[2]Геж ЦДНГ-3 РВС-2000'!$K$32</f>
        <v>70291.068581917585</v>
      </c>
      <c r="J19" s="105"/>
      <c r="K19" s="105"/>
      <c r="L19" s="105">
        <f>I19+G19</f>
        <v>137984.90647857758</v>
      </c>
    </row>
    <row r="20" spans="1:12" s="107" customFormat="1" x14ac:dyDescent="0.2">
      <c r="A20" s="361" t="s">
        <v>139</v>
      </c>
      <c r="B20" s="361"/>
      <c r="C20" s="106">
        <v>4</v>
      </c>
      <c r="D20" s="106"/>
      <c r="E20" s="106"/>
      <c r="F20" s="106"/>
      <c r="G20" s="106"/>
      <c r="H20" s="106"/>
      <c r="I20" s="106"/>
      <c r="J20" s="106">
        <v>2</v>
      </c>
      <c r="K20" s="106"/>
      <c r="L20" s="106"/>
    </row>
    <row r="21" spans="1:12" x14ac:dyDescent="0.2">
      <c r="A21" s="105">
        <v>11</v>
      </c>
      <c r="B21" s="108" t="s">
        <v>132</v>
      </c>
      <c r="C21" s="105">
        <f>L21/4</f>
        <v>17652.707241199998</v>
      </c>
      <c r="D21" s="105"/>
      <c r="E21" s="105"/>
      <c r="F21" s="105"/>
      <c r="G21" s="105"/>
      <c r="H21" s="105"/>
      <c r="I21" s="105"/>
      <c r="J21" s="105">
        <v>4</v>
      </c>
      <c r="K21" s="105">
        <f>[1]Ильин.1000!$K$58*J21</f>
        <v>70610.828964799992</v>
      </c>
      <c r="L21" s="105">
        <f>K21</f>
        <v>70610.828964799992</v>
      </c>
    </row>
    <row r="22" spans="1:12" x14ac:dyDescent="0.2">
      <c r="A22" s="105">
        <v>12</v>
      </c>
      <c r="B22" s="108" t="s">
        <v>133</v>
      </c>
      <c r="C22" s="105">
        <f>L22/2</f>
        <v>35386.118948329997</v>
      </c>
      <c r="D22" s="105"/>
      <c r="E22" s="105"/>
      <c r="F22" s="105"/>
      <c r="G22" s="105"/>
      <c r="H22" s="105"/>
      <c r="I22" s="105"/>
      <c r="J22" s="105">
        <v>2</v>
      </c>
      <c r="K22" s="105">
        <v>70772.237896659994</v>
      </c>
      <c r="L22" s="105">
        <f>K22</f>
        <v>70772.237896659994</v>
      </c>
    </row>
    <row r="23" spans="1:12" s="107" customFormat="1" ht="15" x14ac:dyDescent="0.25">
      <c r="A23" s="359" t="s">
        <v>8</v>
      </c>
      <c r="B23" s="359"/>
      <c r="C23" s="106">
        <f>C20+C17+C14+C11+C8</f>
        <v>31</v>
      </c>
      <c r="D23" s="106">
        <f>D20+D17+D14+D11+D8</f>
        <v>12</v>
      </c>
      <c r="E23" s="106">
        <f>E9+E10+E12+E13+E15+E16</f>
        <v>808279.20116875996</v>
      </c>
      <c r="F23" s="106">
        <f>F20+F17+F14+F11+F8</f>
        <v>8</v>
      </c>
      <c r="G23" s="106">
        <f>G9+G10+G12+G13+G15+G16+G18+G19</f>
        <v>528591.46744584001</v>
      </c>
      <c r="H23" s="106">
        <f>H17</f>
        <v>2</v>
      </c>
      <c r="I23" s="106">
        <f>I18+I19</f>
        <v>140901.89754671758</v>
      </c>
      <c r="J23" s="106">
        <f>J20+J14+J8</f>
        <v>9</v>
      </c>
      <c r="K23" s="106">
        <f>K9+K10+K15+K16+K21+K22</f>
        <v>600918.38639417</v>
      </c>
      <c r="L23" s="106">
        <f>L9+L10+L12+L13+L15+L16+L18+L19+L21+L22</f>
        <v>2078690.9525554874</v>
      </c>
    </row>
    <row r="28" spans="1:12" s="109" customFormat="1" ht="14.25" x14ac:dyDescent="0.2">
      <c r="B28" s="109" t="s">
        <v>191</v>
      </c>
      <c r="C28" s="110"/>
      <c r="D28" s="110"/>
      <c r="E28" s="110"/>
      <c r="F28" s="110"/>
      <c r="G28" s="110" t="s">
        <v>192</v>
      </c>
      <c r="H28" s="110"/>
      <c r="I28" s="110"/>
      <c r="J28" s="110"/>
      <c r="K28" s="110"/>
      <c r="L28" s="110"/>
    </row>
  </sheetData>
  <mergeCells count="14">
    <mergeCell ref="J1:L1"/>
    <mergeCell ref="A23:B23"/>
    <mergeCell ref="A14:B14"/>
    <mergeCell ref="A17:B17"/>
    <mergeCell ref="A20:B20"/>
    <mergeCell ref="J6:K6"/>
    <mergeCell ref="F6:G6"/>
    <mergeCell ref="H6:I6"/>
    <mergeCell ref="A11:B11"/>
    <mergeCell ref="A8:B8"/>
    <mergeCell ref="A7:B7"/>
    <mergeCell ref="D6:E6"/>
    <mergeCell ref="C3:K3"/>
    <mergeCell ref="C4:K4"/>
  </mergeCells>
  <phoneticPr fontId="3" type="noConversion"/>
  <pageMargins left="0.78740157480314965" right="0.59055118110236227" top="0.59055118110236227" bottom="0.59055118110236227" header="0" footer="0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workbookViewId="0">
      <selection activeCell="E10" sqref="E10"/>
    </sheetView>
  </sheetViews>
  <sheetFormatPr defaultRowHeight="12.75" x14ac:dyDescent="0.2"/>
  <cols>
    <col min="1" max="1" width="4" style="148" customWidth="1"/>
    <col min="2" max="2" width="38" style="87" customWidth="1"/>
    <col min="3" max="3" width="7.7109375" style="148" customWidth="1"/>
    <col min="4" max="4" width="7.7109375" style="178" customWidth="1"/>
    <col min="5" max="5" width="11" style="148" customWidth="1"/>
    <col min="6" max="6" width="9.85546875" style="142" customWidth="1"/>
    <col min="7" max="7" width="12.42578125" style="142" customWidth="1"/>
    <col min="8" max="8" width="11" style="193" customWidth="1"/>
    <col min="9" max="13" width="11" style="148" customWidth="1"/>
    <col min="14" max="15" width="9.5703125" style="142" customWidth="1"/>
    <col min="16" max="17" width="7.85546875" style="142" customWidth="1"/>
    <col min="18" max="18" width="8.28515625" style="142" customWidth="1"/>
    <col min="19" max="19" width="9.140625" style="142"/>
    <col min="20" max="20" width="9.5703125" style="142" bestFit="1" customWidth="1"/>
    <col min="21" max="16384" width="9.140625" style="142"/>
  </cols>
  <sheetData>
    <row r="1" spans="1:24" x14ac:dyDescent="0.2">
      <c r="A1" s="142"/>
      <c r="C1" s="142"/>
      <c r="D1" s="169"/>
      <c r="E1" s="142"/>
      <c r="H1" s="180"/>
      <c r="I1" s="142"/>
      <c r="J1" s="142"/>
      <c r="K1" s="142"/>
      <c r="L1" s="142"/>
      <c r="M1" s="142"/>
    </row>
    <row r="2" spans="1:24" x14ac:dyDescent="0.2">
      <c r="A2" s="142"/>
      <c r="C2" s="142"/>
      <c r="D2" s="169"/>
      <c r="E2" s="142"/>
      <c r="H2" s="180"/>
      <c r="I2" s="142"/>
      <c r="J2" s="142"/>
      <c r="K2" s="142"/>
      <c r="L2" s="142"/>
      <c r="M2" s="142"/>
    </row>
    <row r="3" spans="1:24" x14ac:dyDescent="0.2">
      <c r="A3" s="272" t="s">
        <v>292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150"/>
      <c r="V3" s="150"/>
      <c r="W3" s="150"/>
      <c r="X3" s="150"/>
    </row>
    <row r="4" spans="1:24" x14ac:dyDescent="0.2">
      <c r="A4" s="141"/>
      <c r="B4" s="111"/>
      <c r="C4" s="150"/>
      <c r="D4" s="170"/>
      <c r="E4" s="150"/>
      <c r="F4" s="150"/>
      <c r="G4" s="150"/>
      <c r="H4" s="181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</row>
    <row r="5" spans="1:24" s="205" customFormat="1" ht="63.75" x14ac:dyDescent="0.2">
      <c r="A5" s="200" t="s">
        <v>248</v>
      </c>
      <c r="B5" s="200" t="s">
        <v>246</v>
      </c>
      <c r="C5" s="200" t="s">
        <v>151</v>
      </c>
      <c r="D5" s="201" t="s">
        <v>249</v>
      </c>
      <c r="E5" s="200" t="s">
        <v>250</v>
      </c>
      <c r="F5" s="200" t="s">
        <v>251</v>
      </c>
      <c r="G5" s="79" t="s">
        <v>269</v>
      </c>
      <c r="H5" s="202" t="s">
        <v>247</v>
      </c>
      <c r="I5" s="200" t="s">
        <v>255</v>
      </c>
      <c r="J5" s="200" t="s">
        <v>253</v>
      </c>
      <c r="K5" s="200" t="s">
        <v>252</v>
      </c>
      <c r="L5" s="200" t="s">
        <v>263</v>
      </c>
      <c r="M5" s="200" t="s">
        <v>264</v>
      </c>
      <c r="N5" s="200" t="s">
        <v>256</v>
      </c>
      <c r="O5" s="203" t="s">
        <v>257</v>
      </c>
      <c r="P5" s="203" t="s">
        <v>258</v>
      </c>
      <c r="Q5" s="196" t="s">
        <v>259</v>
      </c>
      <c r="R5" s="197" t="s">
        <v>260</v>
      </c>
      <c r="S5" s="197" t="s">
        <v>261</v>
      </c>
      <c r="T5" s="204" t="s">
        <v>262</v>
      </c>
    </row>
    <row r="6" spans="1:24" x14ac:dyDescent="0.2">
      <c r="A6" s="147">
        <v>1</v>
      </c>
      <c r="B6" s="149" t="s">
        <v>293</v>
      </c>
      <c r="C6" s="147" t="s">
        <v>159</v>
      </c>
      <c r="D6" s="164"/>
      <c r="E6" s="147"/>
      <c r="F6" s="14"/>
      <c r="G6" s="14"/>
      <c r="H6" s="179"/>
      <c r="I6" s="147">
        <f t="shared" ref="I6:I10" si="0">H6*G6*F6*E6*D6/100</f>
        <v>0</v>
      </c>
      <c r="J6" s="147"/>
      <c r="K6" s="147"/>
      <c r="L6" s="147"/>
      <c r="M6" s="147"/>
      <c r="N6" s="14"/>
      <c r="O6" s="14"/>
      <c r="P6" s="18"/>
      <c r="Q6" s="18"/>
      <c r="R6" s="18"/>
      <c r="S6" s="18"/>
      <c r="T6" s="18"/>
      <c r="W6" s="59"/>
    </row>
    <row r="7" spans="1:24" x14ac:dyDescent="0.2">
      <c r="A7" s="147">
        <v>2</v>
      </c>
      <c r="B7" s="149"/>
      <c r="C7" s="147" t="s">
        <v>159</v>
      </c>
      <c r="D7" s="164"/>
      <c r="E7" s="147"/>
      <c r="F7" s="14"/>
      <c r="G7" s="14"/>
      <c r="H7" s="179"/>
      <c r="I7" s="147">
        <f t="shared" si="0"/>
        <v>0</v>
      </c>
      <c r="J7" s="147"/>
      <c r="K7" s="147"/>
      <c r="L7" s="147"/>
      <c r="M7" s="147"/>
      <c r="N7" s="14"/>
      <c r="O7" s="14"/>
      <c r="P7" s="27"/>
      <c r="Q7" s="27"/>
      <c r="R7" s="27"/>
      <c r="S7" s="27"/>
      <c r="T7" s="27"/>
      <c r="W7" s="59"/>
    </row>
    <row r="8" spans="1:24" x14ac:dyDescent="0.2">
      <c r="A8" s="147">
        <v>4</v>
      </c>
      <c r="B8" s="149"/>
      <c r="C8" s="147" t="s">
        <v>159</v>
      </c>
      <c r="D8" s="164"/>
      <c r="E8" s="147"/>
      <c r="F8" s="14"/>
      <c r="G8" s="14"/>
      <c r="H8" s="179"/>
      <c r="I8" s="147">
        <f t="shared" si="0"/>
        <v>0</v>
      </c>
      <c r="J8" s="147"/>
      <c r="K8" s="147"/>
      <c r="L8" s="147"/>
      <c r="M8" s="147"/>
      <c r="N8" s="14"/>
      <c r="O8" s="14"/>
      <c r="P8" s="27"/>
      <c r="Q8" s="27"/>
      <c r="R8" s="27"/>
      <c r="S8" s="27"/>
      <c r="T8" s="27"/>
      <c r="W8" s="70"/>
    </row>
    <row r="9" spans="1:24" s="169" customFormat="1" x14ac:dyDescent="0.2">
      <c r="A9" s="147">
        <v>5</v>
      </c>
      <c r="B9" s="165"/>
      <c r="C9" s="164" t="s">
        <v>159</v>
      </c>
      <c r="D9" s="164"/>
      <c r="E9" s="206"/>
      <c r="F9" s="166"/>
      <c r="G9" s="166"/>
      <c r="H9" s="164"/>
      <c r="I9" s="164"/>
      <c r="J9" s="164"/>
      <c r="K9" s="164"/>
      <c r="L9" s="164"/>
      <c r="M9" s="164"/>
      <c r="N9" s="166"/>
      <c r="O9" s="166"/>
      <c r="P9" s="167"/>
      <c r="Q9" s="168"/>
      <c r="R9" s="168"/>
      <c r="S9" s="168"/>
      <c r="T9" s="168"/>
    </row>
    <row r="10" spans="1:24" x14ac:dyDescent="0.2">
      <c r="A10" s="147">
        <v>6</v>
      </c>
      <c r="B10" s="149"/>
      <c r="C10" s="147" t="s">
        <v>159</v>
      </c>
      <c r="D10" s="164"/>
      <c r="E10" s="147"/>
      <c r="F10" s="14"/>
      <c r="G10" s="14"/>
      <c r="H10" s="179"/>
      <c r="I10" s="147">
        <f t="shared" si="0"/>
        <v>0</v>
      </c>
      <c r="J10" s="147"/>
      <c r="K10" s="147"/>
      <c r="L10" s="147"/>
      <c r="M10" s="147"/>
      <c r="N10" s="14"/>
      <c r="O10" s="14"/>
      <c r="P10" s="18"/>
      <c r="Q10" s="18"/>
      <c r="R10" s="18"/>
      <c r="S10" s="18"/>
      <c r="T10" s="18"/>
    </row>
    <row r="11" spans="1:24" s="169" customFormat="1" x14ac:dyDescent="0.2">
      <c r="A11" s="147">
        <v>7</v>
      </c>
      <c r="B11" s="165"/>
      <c r="C11" s="164" t="s">
        <v>159</v>
      </c>
      <c r="D11" s="164"/>
      <c r="E11" s="164"/>
      <c r="F11" s="166"/>
      <c r="G11" s="166"/>
      <c r="H11" s="179"/>
      <c r="I11" s="164"/>
      <c r="J11" s="164"/>
      <c r="K11" s="164"/>
      <c r="L11" s="164"/>
      <c r="M11" s="164"/>
      <c r="N11" s="166"/>
      <c r="O11" s="166"/>
      <c r="P11" s="167"/>
      <c r="Q11" s="168"/>
      <c r="R11" s="168"/>
      <c r="S11" s="168"/>
      <c r="T11" s="168"/>
    </row>
    <row r="12" spans="1:24" x14ac:dyDescent="0.2">
      <c r="A12" s="147"/>
      <c r="B12" s="149"/>
      <c r="C12" s="147"/>
      <c r="D12" s="164"/>
      <c r="E12" s="147"/>
      <c r="F12" s="14"/>
      <c r="G12" s="14"/>
      <c r="H12" s="179"/>
      <c r="I12" s="147"/>
      <c r="J12" s="147"/>
      <c r="K12" s="147"/>
      <c r="L12" s="147"/>
      <c r="M12" s="147"/>
      <c r="N12" s="14"/>
      <c r="O12" s="14"/>
      <c r="P12" s="18"/>
      <c r="Q12" s="27"/>
      <c r="R12" s="27"/>
      <c r="S12" s="27"/>
      <c r="T12" s="27"/>
    </row>
    <row r="13" spans="1:24" x14ac:dyDescent="0.2">
      <c r="A13" s="143"/>
      <c r="B13" s="158"/>
      <c r="C13" s="144"/>
      <c r="D13" s="171"/>
      <c r="E13" s="143"/>
      <c r="F13" s="15"/>
      <c r="G13" s="15"/>
      <c r="H13" s="182"/>
      <c r="I13" s="143"/>
      <c r="J13" s="143"/>
      <c r="K13" s="143"/>
      <c r="L13" s="143"/>
      <c r="M13" s="143"/>
      <c r="N13" s="16"/>
      <c r="O13" s="16"/>
      <c r="P13" s="28"/>
      <c r="Q13" s="28"/>
      <c r="R13" s="28"/>
      <c r="S13" s="28"/>
      <c r="T13" s="28"/>
    </row>
    <row r="14" spans="1:24" x14ac:dyDescent="0.2">
      <c r="A14" s="147">
        <v>17</v>
      </c>
      <c r="B14" s="149" t="s">
        <v>31</v>
      </c>
      <c r="C14" s="147" t="s">
        <v>58</v>
      </c>
      <c r="D14" s="164">
        <v>12</v>
      </c>
      <c r="E14" s="147">
        <v>1.9</v>
      </c>
      <c r="F14" s="14"/>
      <c r="G14" s="14"/>
      <c r="H14" s="179"/>
      <c r="I14" s="147"/>
      <c r="J14" s="147"/>
      <c r="K14" s="147"/>
      <c r="L14" s="147"/>
      <c r="M14" s="147"/>
      <c r="N14" s="14"/>
      <c r="O14" s="14"/>
      <c r="P14" s="18"/>
      <c r="Q14" s="27"/>
      <c r="R14" s="27"/>
      <c r="S14" s="27"/>
      <c r="T14" s="27"/>
    </row>
    <row r="15" spans="1:24" x14ac:dyDescent="0.2">
      <c r="A15" s="143"/>
      <c r="B15" s="158" t="s">
        <v>116</v>
      </c>
      <c r="C15" s="143"/>
      <c r="D15" s="171"/>
      <c r="E15" s="143"/>
      <c r="F15" s="15"/>
      <c r="G15" s="15"/>
      <c r="H15" s="182"/>
      <c r="I15" s="143"/>
      <c r="J15" s="143"/>
      <c r="K15" s="143"/>
      <c r="L15" s="143"/>
      <c r="M15" s="143"/>
      <c r="N15" s="15"/>
      <c r="O15" s="15"/>
      <c r="P15" s="29"/>
      <c r="Q15" s="29"/>
      <c r="R15" s="29"/>
      <c r="S15" s="29"/>
      <c r="T15" s="29"/>
    </row>
    <row r="16" spans="1:24" x14ac:dyDescent="0.2">
      <c r="A16" s="147">
        <v>18</v>
      </c>
      <c r="B16" s="149" t="s">
        <v>30</v>
      </c>
      <c r="C16" s="147" t="s">
        <v>58</v>
      </c>
      <c r="D16" s="164">
        <v>12</v>
      </c>
      <c r="E16" s="147">
        <v>0.15</v>
      </c>
      <c r="F16" s="14"/>
      <c r="G16" s="14"/>
      <c r="H16" s="179"/>
      <c r="I16" s="147"/>
      <c r="J16" s="147"/>
      <c r="K16" s="147"/>
      <c r="L16" s="147"/>
      <c r="M16" s="147"/>
      <c r="N16" s="14"/>
      <c r="O16" s="14"/>
      <c r="P16" s="18"/>
      <c r="Q16" s="18"/>
      <c r="R16" s="18"/>
      <c r="S16" s="18"/>
      <c r="T16" s="18"/>
    </row>
    <row r="17" spans="1:20" x14ac:dyDescent="0.2">
      <c r="A17" s="147">
        <v>19</v>
      </c>
      <c r="B17" s="149" t="s">
        <v>32</v>
      </c>
      <c r="C17" s="147" t="s">
        <v>58</v>
      </c>
      <c r="D17" s="164">
        <v>12</v>
      </c>
      <c r="E17" s="147">
        <v>0.15</v>
      </c>
      <c r="F17" s="14"/>
      <c r="G17" s="14"/>
      <c r="H17" s="179"/>
      <c r="I17" s="147"/>
      <c r="J17" s="147"/>
      <c r="K17" s="147"/>
      <c r="L17" s="147"/>
      <c r="M17" s="147"/>
      <c r="N17" s="14"/>
      <c r="O17" s="14"/>
      <c r="P17" s="18"/>
      <c r="Q17" s="18"/>
      <c r="R17" s="18"/>
      <c r="S17" s="18"/>
      <c r="T17" s="18"/>
    </row>
    <row r="18" spans="1:20" x14ac:dyDescent="0.2">
      <c r="A18" s="147">
        <v>20</v>
      </c>
      <c r="B18" s="149" t="s">
        <v>117</v>
      </c>
      <c r="C18" s="147" t="s">
        <v>58</v>
      </c>
      <c r="D18" s="164">
        <v>2</v>
      </c>
      <c r="E18" s="147">
        <v>0.2</v>
      </c>
      <c r="F18" s="14"/>
      <c r="G18" s="14"/>
      <c r="H18" s="179"/>
      <c r="I18" s="147"/>
      <c r="J18" s="147"/>
      <c r="K18" s="147"/>
      <c r="L18" s="147"/>
      <c r="M18" s="147"/>
      <c r="N18" s="14"/>
      <c r="O18" s="14"/>
      <c r="P18" s="18"/>
      <c r="Q18" s="18"/>
      <c r="R18" s="18"/>
      <c r="S18" s="18"/>
      <c r="T18" s="18"/>
    </row>
    <row r="19" spans="1:20" x14ac:dyDescent="0.2">
      <c r="A19" s="35">
        <v>21</v>
      </c>
      <c r="B19" s="149" t="s">
        <v>33</v>
      </c>
      <c r="C19" s="147" t="s">
        <v>58</v>
      </c>
      <c r="D19" s="164"/>
      <c r="E19" s="35">
        <v>0.17</v>
      </c>
      <c r="F19" s="19"/>
      <c r="G19" s="19"/>
      <c r="H19" s="183"/>
      <c r="I19" s="35"/>
      <c r="J19" s="35"/>
      <c r="K19" s="35"/>
      <c r="L19" s="147"/>
      <c r="M19" s="147"/>
      <c r="N19" s="14"/>
      <c r="O19" s="14"/>
      <c r="P19" s="18"/>
      <c r="Q19" s="18"/>
      <c r="R19" s="18"/>
      <c r="S19" s="18"/>
      <c r="T19" s="18"/>
    </row>
    <row r="20" spans="1:20" x14ac:dyDescent="0.2">
      <c r="A20" s="147">
        <v>17</v>
      </c>
      <c r="B20" s="149" t="s">
        <v>34</v>
      </c>
      <c r="C20" s="147" t="s">
        <v>58</v>
      </c>
      <c r="D20" s="164"/>
      <c r="E20" s="147">
        <v>0.15</v>
      </c>
      <c r="F20" s="14"/>
      <c r="G20" s="14"/>
      <c r="H20" s="179"/>
      <c r="I20" s="147"/>
      <c r="J20" s="147"/>
      <c r="K20" s="147"/>
      <c r="L20" s="147"/>
      <c r="M20" s="147"/>
      <c r="N20" s="14"/>
      <c r="O20" s="14"/>
      <c r="P20" s="18"/>
      <c r="Q20" s="27"/>
      <c r="R20" s="27"/>
      <c r="S20" s="74"/>
      <c r="T20" s="27"/>
    </row>
    <row r="21" spans="1:20" x14ac:dyDescent="0.2">
      <c r="A21" s="144"/>
      <c r="B21" s="158" t="s">
        <v>35</v>
      </c>
      <c r="C21" s="144"/>
      <c r="D21" s="172"/>
      <c r="E21" s="144"/>
      <c r="F21" s="16"/>
      <c r="G21" s="16"/>
      <c r="H21" s="184"/>
      <c r="I21" s="144"/>
      <c r="J21" s="144"/>
      <c r="K21" s="144"/>
      <c r="L21" s="145"/>
      <c r="M21" s="145"/>
      <c r="N21" s="12"/>
      <c r="O21" s="12"/>
      <c r="P21" s="28"/>
      <c r="Q21" s="28"/>
      <c r="R21" s="28"/>
      <c r="S21" s="28"/>
      <c r="T21" s="72"/>
    </row>
    <row r="22" spans="1:20" x14ac:dyDescent="0.2">
      <c r="A22" s="147">
        <v>18</v>
      </c>
      <c r="B22" s="159" t="s">
        <v>38</v>
      </c>
      <c r="C22" s="147" t="s">
        <v>58</v>
      </c>
      <c r="D22" s="164"/>
      <c r="E22" s="147">
        <v>0.25</v>
      </c>
      <c r="F22" s="14"/>
      <c r="G22" s="14"/>
      <c r="H22" s="179"/>
      <c r="I22" s="147"/>
      <c r="J22" s="147"/>
      <c r="K22" s="147"/>
      <c r="L22" s="147"/>
      <c r="M22" s="147"/>
      <c r="N22" s="14"/>
      <c r="O22" s="14"/>
      <c r="P22" s="18"/>
      <c r="Q22" s="29"/>
      <c r="R22" s="29"/>
      <c r="S22" s="29"/>
      <c r="T22" s="29"/>
    </row>
    <row r="23" spans="1:20" x14ac:dyDescent="0.2">
      <c r="A23" s="144"/>
      <c r="B23" s="160" t="s">
        <v>39</v>
      </c>
      <c r="C23" s="144"/>
      <c r="D23" s="172"/>
      <c r="E23" s="144"/>
      <c r="F23" s="16"/>
      <c r="G23" s="16"/>
      <c r="H23" s="184"/>
      <c r="I23" s="144"/>
      <c r="J23" s="144"/>
      <c r="K23" s="144"/>
      <c r="L23" s="144"/>
      <c r="M23" s="144"/>
      <c r="N23" s="16"/>
      <c r="O23" s="16"/>
      <c r="P23" s="28"/>
      <c r="Q23" s="72"/>
      <c r="R23" s="28"/>
      <c r="S23" s="28"/>
      <c r="T23" s="72"/>
    </row>
    <row r="24" spans="1:20" ht="22.5" x14ac:dyDescent="0.2">
      <c r="A24" s="147">
        <v>19</v>
      </c>
      <c r="B24" s="159" t="s">
        <v>59</v>
      </c>
      <c r="C24" s="147" t="s">
        <v>62</v>
      </c>
      <c r="D24" s="164"/>
      <c r="E24" s="157" t="s">
        <v>60</v>
      </c>
      <c r="F24" s="154">
        <v>2</v>
      </c>
      <c r="G24" s="154"/>
      <c r="H24" s="185"/>
      <c r="I24" s="157"/>
      <c r="J24" s="157"/>
      <c r="K24" s="199"/>
      <c r="L24" s="199"/>
      <c r="M24" s="199"/>
      <c r="N24" s="88"/>
      <c r="O24" s="88"/>
      <c r="P24" s="18"/>
      <c r="Q24" s="62"/>
      <c r="R24" s="62"/>
      <c r="S24" s="62"/>
      <c r="T24" s="62"/>
    </row>
    <row r="25" spans="1:20" x14ac:dyDescent="0.2">
      <c r="A25" s="147">
        <v>20</v>
      </c>
      <c r="B25" s="159" t="s">
        <v>40</v>
      </c>
      <c r="C25" s="348" t="s">
        <v>61</v>
      </c>
      <c r="D25" s="173"/>
      <c r="E25" s="344" t="s">
        <v>63</v>
      </c>
      <c r="F25" s="349">
        <v>2</v>
      </c>
      <c r="G25" s="154"/>
      <c r="H25" s="186"/>
      <c r="I25" s="146"/>
      <c r="J25" s="146"/>
      <c r="K25" s="198"/>
      <c r="L25" s="198"/>
      <c r="M25" s="198"/>
      <c r="N25" s="365"/>
      <c r="O25" s="88"/>
      <c r="P25" s="366"/>
      <c r="Q25" s="366"/>
      <c r="R25" s="366"/>
      <c r="S25" s="366"/>
      <c r="T25" s="366"/>
    </row>
    <row r="26" spans="1:20" x14ac:dyDescent="0.2">
      <c r="A26" s="144"/>
      <c r="B26" s="160" t="s">
        <v>41</v>
      </c>
      <c r="C26" s="345"/>
      <c r="D26" s="174"/>
      <c r="E26" s="345"/>
      <c r="F26" s="347"/>
      <c r="G26" s="151"/>
      <c r="H26" s="187"/>
      <c r="I26" s="156"/>
      <c r="J26" s="156"/>
      <c r="K26" s="99"/>
      <c r="L26" s="99"/>
      <c r="M26" s="99"/>
      <c r="N26" s="365"/>
      <c r="O26" s="88"/>
      <c r="P26" s="365"/>
      <c r="Q26" s="365"/>
      <c r="R26" s="365"/>
      <c r="S26" s="365"/>
      <c r="T26" s="365"/>
    </row>
    <row r="27" spans="1:20" x14ac:dyDescent="0.2">
      <c r="A27" s="147">
        <v>21</v>
      </c>
      <c r="B27" s="159" t="s">
        <v>42</v>
      </c>
      <c r="C27" s="348" t="s">
        <v>58</v>
      </c>
      <c r="D27" s="173"/>
      <c r="E27" s="348">
        <v>0.2</v>
      </c>
      <c r="F27" s="349">
        <v>2</v>
      </c>
      <c r="G27" s="154"/>
      <c r="H27" s="188"/>
      <c r="I27" s="155"/>
      <c r="J27" s="155"/>
      <c r="K27" s="99"/>
      <c r="L27" s="99"/>
      <c r="M27" s="99"/>
      <c r="N27" s="365"/>
      <c r="O27" s="88"/>
      <c r="P27" s="366"/>
      <c r="Q27" s="366"/>
      <c r="R27" s="366"/>
      <c r="S27" s="366"/>
      <c r="T27" s="366"/>
    </row>
    <row r="28" spans="1:20" x14ac:dyDescent="0.2">
      <c r="A28" s="144"/>
      <c r="B28" s="160" t="s">
        <v>43</v>
      </c>
      <c r="C28" s="345"/>
      <c r="D28" s="174"/>
      <c r="E28" s="345"/>
      <c r="F28" s="347"/>
      <c r="G28" s="151"/>
      <c r="H28" s="187"/>
      <c r="I28" s="156"/>
      <c r="J28" s="156"/>
      <c r="K28" s="99"/>
      <c r="L28" s="99"/>
      <c r="M28" s="99"/>
      <c r="N28" s="365"/>
      <c r="O28" s="88"/>
      <c r="P28" s="365"/>
      <c r="Q28" s="365"/>
      <c r="R28" s="365"/>
      <c r="S28" s="365"/>
      <c r="T28" s="365"/>
    </row>
    <row r="29" spans="1:20" x14ac:dyDescent="0.2">
      <c r="A29" s="147">
        <v>22</v>
      </c>
      <c r="B29" s="159" t="s">
        <v>44</v>
      </c>
      <c r="C29" s="348" t="s">
        <v>64</v>
      </c>
      <c r="D29" s="173"/>
      <c r="E29" s="344" t="s">
        <v>65</v>
      </c>
      <c r="F29" s="349">
        <v>2</v>
      </c>
      <c r="G29" s="154"/>
      <c r="H29" s="186"/>
      <c r="I29" s="146"/>
      <c r="J29" s="146"/>
      <c r="K29" s="198"/>
      <c r="L29" s="198"/>
      <c r="M29" s="198"/>
      <c r="N29" s="365"/>
      <c r="O29" s="88"/>
      <c r="P29" s="366"/>
      <c r="Q29" s="366"/>
      <c r="R29" s="366"/>
      <c r="S29" s="366"/>
      <c r="T29" s="366"/>
    </row>
    <row r="30" spans="1:20" x14ac:dyDescent="0.2">
      <c r="A30" s="144"/>
      <c r="B30" s="160" t="s">
        <v>45</v>
      </c>
      <c r="C30" s="345"/>
      <c r="D30" s="174"/>
      <c r="E30" s="350"/>
      <c r="F30" s="347"/>
      <c r="G30" s="151"/>
      <c r="H30" s="189"/>
      <c r="I30" s="153"/>
      <c r="J30" s="153"/>
      <c r="K30" s="198"/>
      <c r="L30" s="198"/>
      <c r="M30" s="198"/>
      <c r="N30" s="365"/>
      <c r="O30" s="88"/>
      <c r="P30" s="365"/>
      <c r="Q30" s="365"/>
      <c r="R30" s="365"/>
      <c r="S30" s="365"/>
      <c r="T30" s="365"/>
    </row>
    <row r="31" spans="1:20" s="54" customFormat="1" x14ac:dyDescent="0.2">
      <c r="A31" s="49"/>
      <c r="B31" s="194" t="s">
        <v>265</v>
      </c>
      <c r="C31" s="50"/>
      <c r="D31" s="164"/>
      <c r="E31" s="49"/>
      <c r="F31" s="51"/>
      <c r="G31" s="51"/>
      <c r="H31" s="183"/>
      <c r="I31" s="49"/>
      <c r="J31" s="49"/>
      <c r="K31" s="49"/>
      <c r="L31" s="49"/>
      <c r="M31" s="49"/>
      <c r="N31" s="51"/>
      <c r="O31" s="51"/>
      <c r="P31" s="18"/>
      <c r="Q31" s="18"/>
      <c r="R31" s="18"/>
      <c r="S31" s="18"/>
      <c r="T31" s="18"/>
    </row>
    <row r="32" spans="1:20" x14ac:dyDescent="0.2">
      <c r="A32" s="144"/>
      <c r="B32" s="152" t="s">
        <v>68</v>
      </c>
      <c r="C32" s="43"/>
      <c r="D32" s="175"/>
      <c r="E32" s="144"/>
      <c r="F32" s="144"/>
      <c r="G32" s="144"/>
      <c r="H32" s="184"/>
      <c r="I32" s="144"/>
      <c r="J32" s="144"/>
      <c r="K32" s="35"/>
      <c r="L32" s="35"/>
      <c r="M32" s="35"/>
      <c r="N32" s="35"/>
      <c r="O32" s="35"/>
      <c r="P32" s="18"/>
      <c r="Q32" s="17"/>
      <c r="R32" s="18"/>
      <c r="S32" s="18"/>
      <c r="T32" s="28"/>
    </row>
    <row r="33" spans="1:20" x14ac:dyDescent="0.2">
      <c r="A33" s="144"/>
      <c r="B33" s="195" t="s">
        <v>266</v>
      </c>
      <c r="C33" s="43"/>
      <c r="D33" s="175"/>
      <c r="E33" s="144"/>
      <c r="F33" s="145"/>
      <c r="G33" s="145"/>
      <c r="H33" s="190"/>
      <c r="I33" s="145"/>
      <c r="J33" s="145"/>
      <c r="K33" s="35"/>
      <c r="L33" s="35"/>
      <c r="M33" s="35"/>
      <c r="N33" s="35"/>
      <c r="O33" s="35"/>
      <c r="P33" s="18"/>
      <c r="Q33" s="17"/>
      <c r="R33" s="18"/>
      <c r="S33" s="18"/>
      <c r="T33" s="28"/>
    </row>
    <row r="34" spans="1:20" x14ac:dyDescent="0.2">
      <c r="A34" s="144"/>
      <c r="B34" s="152" t="s">
        <v>49</v>
      </c>
      <c r="C34" s="144" t="s">
        <v>103</v>
      </c>
      <c r="D34" s="172"/>
      <c r="E34" s="144">
        <v>83</v>
      </c>
      <c r="F34" s="145"/>
      <c r="G34" s="145"/>
      <c r="H34" s="190"/>
      <c r="I34" s="145"/>
      <c r="J34" s="145"/>
      <c r="K34" s="35"/>
      <c r="L34" s="35"/>
      <c r="M34" s="35"/>
      <c r="N34" s="35"/>
      <c r="O34" s="35"/>
      <c r="P34" s="18"/>
      <c r="Q34" s="17"/>
      <c r="R34" s="18"/>
      <c r="S34" s="18"/>
      <c r="T34" s="18"/>
    </row>
    <row r="35" spans="1:20" x14ac:dyDescent="0.2">
      <c r="A35" s="144"/>
      <c r="B35" s="161" t="s">
        <v>50</v>
      </c>
      <c r="C35" s="144" t="s">
        <v>51</v>
      </c>
      <c r="D35" s="172"/>
      <c r="E35" s="144">
        <v>2</v>
      </c>
      <c r="F35" s="145"/>
      <c r="G35" s="145"/>
      <c r="H35" s="190"/>
      <c r="I35" s="145"/>
      <c r="J35" s="145"/>
      <c r="K35" s="35"/>
      <c r="L35" s="35"/>
      <c r="M35" s="35"/>
      <c r="N35" s="35"/>
      <c r="O35" s="35"/>
      <c r="P35" s="18"/>
      <c r="Q35" s="17"/>
      <c r="R35" s="18"/>
      <c r="S35" s="18"/>
      <c r="T35" s="28"/>
    </row>
    <row r="36" spans="1:20" x14ac:dyDescent="0.2">
      <c r="A36" s="144"/>
      <c r="B36" s="162" t="s">
        <v>267</v>
      </c>
      <c r="C36" s="37"/>
      <c r="D36" s="176"/>
      <c r="E36" s="37"/>
      <c r="F36" s="45"/>
      <c r="G36" s="37"/>
      <c r="H36" s="191"/>
      <c r="I36" s="37"/>
      <c r="J36" s="37"/>
      <c r="K36" s="45"/>
      <c r="L36" s="45"/>
      <c r="M36" s="45"/>
      <c r="N36" s="57"/>
      <c r="O36" s="57"/>
      <c r="P36" s="18"/>
      <c r="Q36" s="17"/>
      <c r="R36" s="18"/>
      <c r="S36" s="18"/>
      <c r="T36" s="33"/>
    </row>
    <row r="37" spans="1:20" x14ac:dyDescent="0.2">
      <c r="A37" s="150"/>
      <c r="B37" s="163"/>
      <c r="C37" s="141"/>
      <c r="D37" s="177"/>
      <c r="E37" s="141"/>
      <c r="F37" s="141"/>
      <c r="G37" s="141"/>
      <c r="H37" s="192"/>
      <c r="I37" s="141"/>
      <c r="J37" s="141"/>
      <c r="K37" s="141"/>
      <c r="L37" s="141"/>
      <c r="M37" s="141"/>
      <c r="N37" s="68"/>
      <c r="O37" s="68"/>
    </row>
  </sheetData>
  <mergeCells count="28">
    <mergeCell ref="S29:S30"/>
    <mergeCell ref="T29:T30"/>
    <mergeCell ref="R27:R28"/>
    <mergeCell ref="S27:S28"/>
    <mergeCell ref="T27:T28"/>
    <mergeCell ref="Q29:Q30"/>
    <mergeCell ref="R29:R30"/>
    <mergeCell ref="C27:C28"/>
    <mergeCell ref="E27:E28"/>
    <mergeCell ref="F27:F28"/>
    <mergeCell ref="N27:N28"/>
    <mergeCell ref="P27:P28"/>
    <mergeCell ref="Q27:Q28"/>
    <mergeCell ref="C29:C30"/>
    <mergeCell ref="E29:E30"/>
    <mergeCell ref="F29:F30"/>
    <mergeCell ref="N29:N30"/>
    <mergeCell ref="P29:P30"/>
    <mergeCell ref="A3:T3"/>
    <mergeCell ref="C25:C26"/>
    <mergeCell ref="E25:E26"/>
    <mergeCell ref="F25:F26"/>
    <mergeCell ref="N25:N26"/>
    <mergeCell ref="P25:P26"/>
    <mergeCell ref="Q25:Q26"/>
    <mergeCell ref="R25:R26"/>
    <mergeCell ref="S25:S26"/>
    <mergeCell ref="T25:T2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opLeftCell="A4" workbookViewId="0">
      <selection activeCell="K12" sqref="K12"/>
    </sheetView>
  </sheetViews>
  <sheetFormatPr defaultColWidth="9.42578125" defaultRowHeight="12.75" x14ac:dyDescent="0.2"/>
  <cols>
    <col min="1" max="1" width="6.140625" style="148" customWidth="1"/>
    <col min="2" max="2" width="25.28515625" style="87" customWidth="1"/>
    <col min="3" max="3" width="6.5703125" style="148" customWidth="1"/>
    <col min="4" max="4" width="7.28515625" style="178" customWidth="1"/>
    <col min="5" max="5" width="9.42578125" style="148"/>
    <col min="6" max="6" width="9.42578125" style="142"/>
    <col min="7" max="7" width="10.42578125" style="142" customWidth="1"/>
    <col min="8" max="8" width="9.7109375" style="193" customWidth="1"/>
    <col min="9" max="12" width="9.42578125" style="148"/>
    <col min="13" max="13" width="7.7109375" style="148" customWidth="1"/>
    <col min="14" max="16" width="7.5703125" style="142" customWidth="1"/>
    <col min="17" max="17" width="9.42578125" style="142"/>
    <col min="18" max="18" width="8.42578125" style="142" customWidth="1"/>
    <col min="19" max="19" width="8.28515625" style="142" customWidth="1"/>
    <col min="20" max="20" width="10" style="142" customWidth="1"/>
    <col min="21" max="16384" width="9.42578125" style="142"/>
  </cols>
  <sheetData>
    <row r="1" spans="1:24" x14ac:dyDescent="0.2">
      <c r="A1" s="142"/>
      <c r="C1" s="142"/>
      <c r="D1" s="169"/>
      <c r="E1" s="142"/>
      <c r="H1" s="180"/>
      <c r="I1" s="142"/>
      <c r="J1" s="142"/>
      <c r="K1" s="142"/>
      <c r="L1" s="142"/>
      <c r="M1" s="142"/>
    </row>
    <row r="2" spans="1:24" x14ac:dyDescent="0.2">
      <c r="A2" s="142"/>
      <c r="C2" s="142"/>
      <c r="D2" s="169"/>
      <c r="E2" s="142"/>
      <c r="H2" s="180"/>
      <c r="I2" s="142"/>
      <c r="J2" s="142"/>
      <c r="K2" s="142"/>
      <c r="L2" s="142"/>
      <c r="M2" s="142"/>
    </row>
    <row r="3" spans="1:24" x14ac:dyDescent="0.2">
      <c r="A3" s="272" t="s">
        <v>284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150"/>
      <c r="V3" s="150"/>
      <c r="W3" s="150"/>
      <c r="X3" s="150"/>
    </row>
    <row r="4" spans="1:24" ht="18" customHeight="1" x14ac:dyDescent="0.2">
      <c r="A4" s="141"/>
      <c r="B4" s="111"/>
      <c r="C4" s="150"/>
      <c r="D4" s="170"/>
      <c r="E4" s="150"/>
      <c r="F4" s="150"/>
      <c r="G4" s="150"/>
      <c r="H4" s="181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</row>
    <row r="5" spans="1:24" s="205" customFormat="1" ht="63.75" x14ac:dyDescent="0.2">
      <c r="A5" s="200" t="s">
        <v>248</v>
      </c>
      <c r="B5" s="200" t="s">
        <v>246</v>
      </c>
      <c r="C5" s="200" t="s">
        <v>151</v>
      </c>
      <c r="D5" s="201" t="s">
        <v>249</v>
      </c>
      <c r="E5" s="200" t="s">
        <v>250</v>
      </c>
      <c r="F5" s="200" t="s">
        <v>251</v>
      </c>
      <c r="G5" s="79" t="s">
        <v>269</v>
      </c>
      <c r="H5" s="202" t="s">
        <v>247</v>
      </c>
      <c r="I5" s="200" t="s">
        <v>255</v>
      </c>
      <c r="J5" s="200" t="s">
        <v>253</v>
      </c>
      <c r="K5" s="200" t="s">
        <v>252</v>
      </c>
      <c r="L5" s="200" t="s">
        <v>263</v>
      </c>
      <c r="M5" s="200" t="s">
        <v>264</v>
      </c>
      <c r="N5" s="200" t="s">
        <v>256</v>
      </c>
      <c r="O5" s="203" t="s">
        <v>257</v>
      </c>
      <c r="P5" s="203" t="s">
        <v>258</v>
      </c>
      <c r="Q5" s="196" t="s">
        <v>259</v>
      </c>
      <c r="R5" s="197" t="s">
        <v>260</v>
      </c>
      <c r="S5" s="197" t="s">
        <v>261</v>
      </c>
      <c r="T5" s="204" t="s">
        <v>262</v>
      </c>
    </row>
    <row r="6" spans="1:24" ht="27" customHeight="1" x14ac:dyDescent="0.2">
      <c r="A6" s="147">
        <v>1</v>
      </c>
      <c r="B6" s="149" t="s">
        <v>286</v>
      </c>
      <c r="C6" s="147" t="s">
        <v>159</v>
      </c>
      <c r="D6" s="164"/>
      <c r="E6" s="147">
        <v>100</v>
      </c>
      <c r="F6" s="14">
        <v>1</v>
      </c>
      <c r="G6" s="14">
        <v>1</v>
      </c>
      <c r="H6" s="179"/>
      <c r="I6" s="147">
        <f t="shared" ref="I6:I10" si="0">H6*G6*F6*E6*D6/100</f>
        <v>0</v>
      </c>
      <c r="J6" s="147"/>
      <c r="K6" s="147"/>
      <c r="L6" s="147"/>
      <c r="M6" s="147"/>
      <c r="N6" s="14"/>
      <c r="O6" s="14"/>
      <c r="P6" s="18"/>
      <c r="Q6" s="18"/>
      <c r="R6" s="18"/>
      <c r="S6" s="18"/>
      <c r="T6" s="18"/>
      <c r="W6" s="59"/>
    </row>
    <row r="7" spans="1:24" ht="42" customHeight="1" x14ac:dyDescent="0.2">
      <c r="A7" s="147">
        <v>2</v>
      </c>
      <c r="B7" s="149" t="s">
        <v>287</v>
      </c>
      <c r="C7" s="147" t="s">
        <v>159</v>
      </c>
      <c r="D7" s="164"/>
      <c r="E7" s="147">
        <v>10</v>
      </c>
      <c r="F7" s="14">
        <v>1</v>
      </c>
      <c r="G7" s="14">
        <v>1</v>
      </c>
      <c r="H7" s="179"/>
      <c r="I7" s="147">
        <f t="shared" si="0"/>
        <v>0</v>
      </c>
      <c r="J7" s="147"/>
      <c r="K7" s="147"/>
      <c r="L7" s="147"/>
      <c r="M7" s="147"/>
      <c r="N7" s="14"/>
      <c r="O7" s="14"/>
      <c r="P7" s="27"/>
      <c r="Q7" s="27"/>
      <c r="R7" s="27"/>
      <c r="S7" s="27"/>
      <c r="T7" s="27"/>
      <c r="W7" s="59"/>
    </row>
    <row r="8" spans="1:24" ht="30.75" customHeight="1" x14ac:dyDescent="0.2">
      <c r="A8" s="147">
        <v>4</v>
      </c>
      <c r="B8" s="149" t="s">
        <v>288</v>
      </c>
      <c r="C8" s="147" t="s">
        <v>159</v>
      </c>
      <c r="D8" s="164"/>
      <c r="E8" s="147">
        <v>100</v>
      </c>
      <c r="F8" s="14">
        <v>0.5</v>
      </c>
      <c r="G8" s="14">
        <v>1</v>
      </c>
      <c r="H8" s="179"/>
      <c r="I8" s="147">
        <f t="shared" si="0"/>
        <v>0</v>
      </c>
      <c r="J8" s="147"/>
      <c r="K8" s="147"/>
      <c r="L8" s="147"/>
      <c r="M8" s="147"/>
      <c r="N8" s="14"/>
      <c r="O8" s="14"/>
      <c r="P8" s="27"/>
      <c r="Q8" s="27"/>
      <c r="R8" s="27"/>
      <c r="S8" s="27"/>
      <c r="T8" s="27"/>
      <c r="W8" s="70"/>
    </row>
    <row r="9" spans="1:24" s="169" customFormat="1" ht="66" customHeight="1" x14ac:dyDescent="0.2">
      <c r="A9" s="147">
        <v>5</v>
      </c>
      <c r="B9" s="165" t="s">
        <v>289</v>
      </c>
      <c r="C9" s="164" t="s">
        <v>159</v>
      </c>
      <c r="D9" s="164"/>
      <c r="E9" s="206">
        <v>5</v>
      </c>
      <c r="F9" s="166">
        <v>1</v>
      </c>
      <c r="G9" s="166">
        <v>1</v>
      </c>
      <c r="H9" s="164"/>
      <c r="I9" s="164"/>
      <c r="J9" s="164"/>
      <c r="K9" s="164"/>
      <c r="L9" s="164"/>
      <c r="M9" s="164"/>
      <c r="N9" s="166"/>
      <c r="O9" s="166"/>
      <c r="P9" s="167"/>
      <c r="Q9" s="168"/>
      <c r="R9" s="168"/>
      <c r="S9" s="168"/>
      <c r="T9" s="168"/>
    </row>
    <row r="10" spans="1:24" ht="63.75" customHeight="1" x14ac:dyDescent="0.2">
      <c r="A10" s="147">
        <v>6</v>
      </c>
      <c r="B10" s="149" t="s">
        <v>290</v>
      </c>
      <c r="C10" s="147" t="s">
        <v>159</v>
      </c>
      <c r="D10" s="164"/>
      <c r="E10" s="147">
        <v>100</v>
      </c>
      <c r="F10" s="14">
        <v>360</v>
      </c>
      <c r="G10" s="14">
        <v>1</v>
      </c>
      <c r="H10" s="179">
        <v>0.3</v>
      </c>
      <c r="I10" s="147">
        <f t="shared" si="0"/>
        <v>0</v>
      </c>
      <c r="J10" s="147"/>
      <c r="K10" s="147"/>
      <c r="L10" s="147"/>
      <c r="M10" s="147"/>
      <c r="N10" s="14"/>
      <c r="O10" s="14"/>
      <c r="P10" s="18"/>
      <c r="Q10" s="18"/>
      <c r="R10" s="18"/>
      <c r="S10" s="18"/>
      <c r="T10" s="18"/>
    </row>
    <row r="11" spans="1:24" s="169" customFormat="1" ht="30" customHeight="1" x14ac:dyDescent="0.2">
      <c r="A11" s="35">
        <v>7</v>
      </c>
      <c r="B11" s="209" t="s">
        <v>291</v>
      </c>
      <c r="C11" s="210" t="s">
        <v>159</v>
      </c>
      <c r="D11" s="210"/>
      <c r="E11" s="210" t="s">
        <v>254</v>
      </c>
      <c r="F11" s="211"/>
      <c r="G11" s="211"/>
      <c r="H11" s="183"/>
      <c r="I11" s="210"/>
      <c r="J11" s="210"/>
      <c r="K11" s="210"/>
      <c r="L11" s="210"/>
      <c r="M11" s="210"/>
      <c r="N11" s="211"/>
      <c r="O11" s="211"/>
      <c r="P11" s="167"/>
      <c r="Q11" s="167"/>
      <c r="R11" s="167"/>
      <c r="S11" s="167"/>
      <c r="T11" s="167"/>
    </row>
    <row r="12" spans="1:24" ht="38.25" customHeight="1" x14ac:dyDescent="0.2">
      <c r="A12" s="144"/>
      <c r="B12" s="162" t="s">
        <v>267</v>
      </c>
      <c r="C12" s="37"/>
      <c r="D12" s="176"/>
      <c r="E12" s="37"/>
      <c r="F12" s="37"/>
      <c r="G12" s="37"/>
      <c r="H12" s="191"/>
      <c r="I12" s="37"/>
      <c r="J12" s="37"/>
      <c r="K12" s="37"/>
      <c r="L12" s="37"/>
      <c r="M12" s="37"/>
      <c r="N12" s="207"/>
      <c r="O12" s="207"/>
      <c r="P12" s="28"/>
      <c r="Q12" s="32"/>
      <c r="R12" s="28"/>
      <c r="S12" s="28"/>
      <c r="T12" s="208"/>
    </row>
    <row r="13" spans="1:24" x14ac:dyDescent="0.2">
      <c r="A13" s="150"/>
      <c r="B13" s="163"/>
      <c r="C13" s="141"/>
      <c r="D13" s="177"/>
      <c r="E13" s="141"/>
      <c r="F13" s="141"/>
      <c r="G13" s="141"/>
      <c r="H13" s="192"/>
      <c r="I13" s="141"/>
      <c r="J13" s="141"/>
      <c r="K13" s="141"/>
      <c r="L13" s="141"/>
      <c r="M13" s="141"/>
      <c r="N13" s="68"/>
      <c r="O13" s="68"/>
    </row>
  </sheetData>
  <mergeCells count="1">
    <mergeCell ref="A3:T3"/>
  </mergeCells>
  <pageMargins left="0.51181102362204722" right="0.31496062992125984" top="0.35433070866141736" bottom="0.35433070866141736" header="0" footer="0"/>
  <pageSetup paperSize="9" scale="7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workbookViewId="0">
      <selection activeCell="A3" sqref="A3:T3"/>
    </sheetView>
  </sheetViews>
  <sheetFormatPr defaultRowHeight="12.75" x14ac:dyDescent="0.2"/>
  <cols>
    <col min="1" max="1" width="4" style="148" customWidth="1"/>
    <col min="2" max="2" width="38" style="87" customWidth="1"/>
    <col min="3" max="3" width="7.7109375" style="148" customWidth="1"/>
    <col min="4" max="4" width="7.7109375" style="178" customWidth="1"/>
    <col min="5" max="5" width="11" style="148" customWidth="1"/>
    <col min="6" max="6" width="9.85546875" style="142" customWidth="1"/>
    <col min="7" max="7" width="12.42578125" style="142" customWidth="1"/>
    <col min="8" max="8" width="11" style="193" customWidth="1"/>
    <col min="9" max="13" width="11" style="148" customWidth="1"/>
    <col min="14" max="15" width="9.5703125" style="142" customWidth="1"/>
    <col min="16" max="17" width="7.85546875" style="142" customWidth="1"/>
    <col min="18" max="18" width="8.28515625" style="142" customWidth="1"/>
    <col min="19" max="19" width="9.140625" style="142"/>
    <col min="20" max="20" width="9.5703125" style="142" bestFit="1" customWidth="1"/>
    <col min="21" max="16384" width="9.140625" style="142"/>
  </cols>
  <sheetData>
    <row r="1" spans="1:24" x14ac:dyDescent="0.2">
      <c r="A1" s="142"/>
      <c r="C1" s="142"/>
      <c r="D1" s="169"/>
      <c r="E1" s="142"/>
      <c r="H1" s="180"/>
      <c r="I1" s="142"/>
      <c r="J1" s="142"/>
      <c r="K1" s="142"/>
      <c r="L1" s="142"/>
      <c r="M1" s="142"/>
    </row>
    <row r="2" spans="1:24" x14ac:dyDescent="0.2">
      <c r="A2" s="142"/>
      <c r="C2" s="142"/>
      <c r="D2" s="169"/>
      <c r="E2" s="142"/>
      <c r="H2" s="180"/>
      <c r="I2" s="142"/>
      <c r="J2" s="142"/>
      <c r="K2" s="142"/>
      <c r="L2" s="142"/>
      <c r="M2" s="142"/>
    </row>
    <row r="3" spans="1:24" x14ac:dyDescent="0.2">
      <c r="A3" s="272" t="s">
        <v>285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150"/>
      <c r="V3" s="150"/>
      <c r="W3" s="150"/>
      <c r="X3" s="150"/>
    </row>
    <row r="4" spans="1:24" x14ac:dyDescent="0.2">
      <c r="A4" s="141"/>
      <c r="B4" s="111"/>
      <c r="C4" s="150"/>
      <c r="D4" s="170"/>
      <c r="E4" s="150"/>
      <c r="F4" s="150"/>
      <c r="G4" s="150"/>
      <c r="H4" s="181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</row>
    <row r="5" spans="1:24" s="205" customFormat="1" ht="58.5" customHeight="1" x14ac:dyDescent="0.2">
      <c r="A5" s="200" t="s">
        <v>248</v>
      </c>
      <c r="B5" s="200" t="s">
        <v>246</v>
      </c>
      <c r="C5" s="200" t="s">
        <v>151</v>
      </c>
      <c r="D5" s="201" t="s">
        <v>249</v>
      </c>
      <c r="E5" s="200" t="s">
        <v>250</v>
      </c>
      <c r="F5" s="200" t="s">
        <v>251</v>
      </c>
      <c r="G5" s="79" t="s">
        <v>269</v>
      </c>
      <c r="H5" s="202" t="s">
        <v>247</v>
      </c>
      <c r="I5" s="200" t="s">
        <v>255</v>
      </c>
      <c r="J5" s="200" t="s">
        <v>253</v>
      </c>
      <c r="K5" s="200" t="s">
        <v>252</v>
      </c>
      <c r="L5" s="200" t="s">
        <v>263</v>
      </c>
      <c r="M5" s="200" t="s">
        <v>264</v>
      </c>
      <c r="N5" s="200" t="s">
        <v>256</v>
      </c>
      <c r="O5" s="203" t="s">
        <v>257</v>
      </c>
      <c r="P5" s="203" t="s">
        <v>258</v>
      </c>
      <c r="Q5" s="196" t="s">
        <v>259</v>
      </c>
      <c r="R5" s="197" t="s">
        <v>260</v>
      </c>
      <c r="S5" s="197" t="s">
        <v>261</v>
      </c>
      <c r="T5" s="204" t="s">
        <v>262</v>
      </c>
    </row>
    <row r="6" spans="1:24" ht="25.5" x14ac:dyDescent="0.2">
      <c r="A6" s="147">
        <v>1</v>
      </c>
      <c r="B6" s="149" t="s">
        <v>271</v>
      </c>
      <c r="C6" s="147" t="s">
        <v>159</v>
      </c>
      <c r="D6" s="164"/>
      <c r="E6" s="147">
        <v>100</v>
      </c>
      <c r="F6" s="14">
        <v>3</v>
      </c>
      <c r="G6" s="14">
        <v>1</v>
      </c>
      <c r="H6" s="179"/>
      <c r="I6" s="147">
        <f t="shared" ref="I6:I11" si="0">H6*G6*F6*E6*D6/100</f>
        <v>0</v>
      </c>
      <c r="J6" s="147"/>
      <c r="K6" s="147"/>
      <c r="L6" s="147"/>
      <c r="M6" s="147"/>
      <c r="N6" s="14"/>
      <c r="O6" s="14"/>
      <c r="P6" s="18"/>
      <c r="Q6" s="18"/>
      <c r="R6" s="18"/>
      <c r="S6" s="18"/>
      <c r="T6" s="18"/>
      <c r="W6" s="59"/>
    </row>
    <row r="7" spans="1:24" x14ac:dyDescent="0.2">
      <c r="A7" s="147">
        <v>2</v>
      </c>
      <c r="B7" s="149" t="s">
        <v>278</v>
      </c>
      <c r="C7" s="147" t="s">
        <v>159</v>
      </c>
      <c r="D7" s="164"/>
      <c r="E7" s="147">
        <v>10</v>
      </c>
      <c r="F7" s="14">
        <v>0.5</v>
      </c>
      <c r="G7" s="14">
        <v>1</v>
      </c>
      <c r="H7" s="179"/>
      <c r="I7" s="147">
        <f t="shared" ref="I7" si="1">H7*G7*F7*E7*D7/100</f>
        <v>0</v>
      </c>
      <c r="J7" s="147"/>
      <c r="K7" s="147"/>
      <c r="L7" s="147"/>
      <c r="M7" s="147"/>
      <c r="N7" s="14"/>
      <c r="O7" s="14"/>
      <c r="P7" s="27"/>
      <c r="Q7" s="27"/>
      <c r="R7" s="27"/>
      <c r="S7" s="27"/>
      <c r="T7" s="27"/>
      <c r="W7" s="59"/>
    </row>
    <row r="8" spans="1:24" x14ac:dyDescent="0.2">
      <c r="A8" s="147">
        <v>3</v>
      </c>
      <c r="B8" s="149" t="s">
        <v>279</v>
      </c>
      <c r="C8" s="147" t="s">
        <v>159</v>
      </c>
      <c r="D8" s="164"/>
      <c r="E8" s="147">
        <v>100</v>
      </c>
      <c r="F8" s="14">
        <v>1</v>
      </c>
      <c r="G8" s="14">
        <v>1</v>
      </c>
      <c r="H8" s="179"/>
      <c r="I8" s="147">
        <f t="shared" si="0"/>
        <v>0</v>
      </c>
      <c r="J8" s="147"/>
      <c r="K8" s="147"/>
      <c r="L8" s="147"/>
      <c r="M8" s="147"/>
      <c r="N8" s="14"/>
      <c r="O8" s="14"/>
      <c r="P8" s="18"/>
      <c r="Q8" s="27"/>
      <c r="R8" s="27"/>
      <c r="S8" s="27"/>
      <c r="T8" s="27"/>
    </row>
    <row r="9" spans="1:24" x14ac:dyDescent="0.2">
      <c r="A9" s="147">
        <v>4</v>
      </c>
      <c r="B9" s="149" t="s">
        <v>280</v>
      </c>
      <c r="C9" s="147" t="s">
        <v>159</v>
      </c>
      <c r="D9" s="164"/>
      <c r="E9" s="147">
        <v>10</v>
      </c>
      <c r="F9" s="14">
        <v>1</v>
      </c>
      <c r="G9" s="14">
        <v>1</v>
      </c>
      <c r="H9" s="179"/>
      <c r="I9" s="147">
        <f t="shared" si="0"/>
        <v>0</v>
      </c>
      <c r="J9" s="147"/>
      <c r="K9" s="147"/>
      <c r="L9" s="147"/>
      <c r="M9" s="147"/>
      <c r="N9" s="14"/>
      <c r="O9" s="14"/>
      <c r="P9" s="27"/>
      <c r="Q9" s="27"/>
      <c r="R9" s="27"/>
      <c r="S9" s="27"/>
      <c r="T9" s="27"/>
      <c r="W9" s="70"/>
    </row>
    <row r="10" spans="1:24" s="169" customFormat="1" ht="38.25" x14ac:dyDescent="0.2">
      <c r="A10" s="147">
        <v>5</v>
      </c>
      <c r="B10" s="165" t="s">
        <v>281</v>
      </c>
      <c r="C10" s="164" t="s">
        <v>159</v>
      </c>
      <c r="D10" s="164"/>
      <c r="E10" s="206">
        <v>10</v>
      </c>
      <c r="F10" s="166">
        <v>1</v>
      </c>
      <c r="G10" s="166">
        <v>1</v>
      </c>
      <c r="H10" s="164"/>
      <c r="I10" s="164"/>
      <c r="J10" s="164"/>
      <c r="K10" s="164"/>
      <c r="L10" s="164"/>
      <c r="M10" s="164"/>
      <c r="N10" s="166"/>
      <c r="O10" s="166"/>
      <c r="P10" s="167"/>
      <c r="Q10" s="168"/>
      <c r="R10" s="168"/>
      <c r="S10" s="168"/>
      <c r="T10" s="168"/>
    </row>
    <row r="11" spans="1:24" ht="38.25" x14ac:dyDescent="0.2">
      <c r="A11" s="147">
        <v>6</v>
      </c>
      <c r="B11" s="149" t="s">
        <v>282</v>
      </c>
      <c r="C11" s="147" t="s">
        <v>159</v>
      </c>
      <c r="D11" s="164"/>
      <c r="E11" s="147">
        <v>100</v>
      </c>
      <c r="F11" s="14">
        <v>360</v>
      </c>
      <c r="G11" s="14">
        <v>1</v>
      </c>
      <c r="H11" s="179">
        <v>0.3</v>
      </c>
      <c r="I11" s="147">
        <f t="shared" si="0"/>
        <v>0</v>
      </c>
      <c r="J11" s="147"/>
      <c r="K11" s="147"/>
      <c r="L11" s="147"/>
      <c r="M11" s="147"/>
      <c r="N11" s="14"/>
      <c r="O11" s="14"/>
      <c r="P11" s="18"/>
      <c r="Q11" s="18"/>
      <c r="R11" s="18"/>
      <c r="S11" s="18"/>
      <c r="T11" s="18"/>
    </row>
    <row r="12" spans="1:24" s="169" customFormat="1" x14ac:dyDescent="0.2">
      <c r="A12" s="147">
        <v>7</v>
      </c>
      <c r="B12" s="165" t="s">
        <v>283</v>
      </c>
      <c r="C12" s="164" t="s">
        <v>159</v>
      </c>
      <c r="D12" s="164"/>
      <c r="E12" s="164" t="s">
        <v>254</v>
      </c>
      <c r="F12" s="166"/>
      <c r="G12" s="166"/>
      <c r="H12" s="179"/>
      <c r="I12" s="164"/>
      <c r="J12" s="164"/>
      <c r="K12" s="164"/>
      <c r="L12" s="164"/>
      <c r="M12" s="164"/>
      <c r="N12" s="166"/>
      <c r="O12" s="166"/>
      <c r="P12" s="167"/>
      <c r="Q12" s="168"/>
      <c r="R12" s="168"/>
      <c r="S12" s="168"/>
      <c r="T12" s="168"/>
    </row>
    <row r="13" spans="1:24" x14ac:dyDescent="0.2">
      <c r="A13" s="147"/>
      <c r="B13" s="149"/>
      <c r="C13" s="147"/>
      <c r="D13" s="164"/>
      <c r="E13" s="147"/>
      <c r="F13" s="14"/>
      <c r="G13" s="14"/>
      <c r="H13" s="179"/>
      <c r="I13" s="147"/>
      <c r="J13" s="147"/>
      <c r="K13" s="147"/>
      <c r="L13" s="147"/>
      <c r="M13" s="147"/>
      <c r="N13" s="14"/>
      <c r="O13" s="14"/>
      <c r="P13" s="18"/>
      <c r="Q13" s="27"/>
      <c r="R13" s="27"/>
      <c r="S13" s="27"/>
      <c r="T13" s="27"/>
    </row>
    <row r="14" spans="1:24" x14ac:dyDescent="0.2">
      <c r="A14" s="143"/>
      <c r="B14" s="158"/>
      <c r="C14" s="144"/>
      <c r="D14" s="171"/>
      <c r="E14" s="143"/>
      <c r="F14" s="15"/>
      <c r="G14" s="15"/>
      <c r="H14" s="182"/>
      <c r="I14" s="143"/>
      <c r="J14" s="143"/>
      <c r="K14" s="143"/>
      <c r="L14" s="143"/>
      <c r="M14" s="143"/>
      <c r="N14" s="16"/>
      <c r="O14" s="16"/>
      <c r="P14" s="28"/>
      <c r="Q14" s="28"/>
      <c r="R14" s="28"/>
      <c r="S14" s="28"/>
      <c r="T14" s="28"/>
    </row>
    <row r="15" spans="1:24" x14ac:dyDescent="0.2">
      <c r="A15" s="147">
        <v>17</v>
      </c>
      <c r="B15" s="149" t="s">
        <v>31</v>
      </c>
      <c r="C15" s="147" t="s">
        <v>58</v>
      </c>
      <c r="D15" s="164">
        <v>12</v>
      </c>
      <c r="E15" s="147">
        <v>1.9</v>
      </c>
      <c r="F15" s="14"/>
      <c r="G15" s="14"/>
      <c r="H15" s="179"/>
      <c r="I15" s="147"/>
      <c r="J15" s="147"/>
      <c r="K15" s="147"/>
      <c r="L15" s="147"/>
      <c r="M15" s="147"/>
      <c r="N15" s="14"/>
      <c r="O15" s="14"/>
      <c r="P15" s="18"/>
      <c r="Q15" s="27"/>
      <c r="R15" s="27"/>
      <c r="S15" s="27"/>
      <c r="T15" s="27"/>
    </row>
    <row r="16" spans="1:24" x14ac:dyDescent="0.2">
      <c r="A16" s="143"/>
      <c r="B16" s="158" t="s">
        <v>116</v>
      </c>
      <c r="C16" s="143"/>
      <c r="D16" s="171"/>
      <c r="E16" s="143"/>
      <c r="F16" s="15"/>
      <c r="G16" s="15"/>
      <c r="H16" s="182"/>
      <c r="I16" s="143"/>
      <c r="J16" s="143"/>
      <c r="K16" s="143"/>
      <c r="L16" s="143"/>
      <c r="M16" s="143"/>
      <c r="N16" s="15"/>
      <c r="O16" s="15"/>
      <c r="P16" s="29"/>
      <c r="Q16" s="29"/>
      <c r="R16" s="29"/>
      <c r="S16" s="29"/>
      <c r="T16" s="29"/>
    </row>
    <row r="17" spans="1:20" x14ac:dyDescent="0.2">
      <c r="A17" s="147">
        <v>18</v>
      </c>
      <c r="B17" s="149" t="s">
        <v>30</v>
      </c>
      <c r="C17" s="147" t="s">
        <v>58</v>
      </c>
      <c r="D17" s="164">
        <v>12</v>
      </c>
      <c r="E17" s="147">
        <v>0.15</v>
      </c>
      <c r="F17" s="14"/>
      <c r="G17" s="14"/>
      <c r="H17" s="179"/>
      <c r="I17" s="147"/>
      <c r="J17" s="147"/>
      <c r="K17" s="147"/>
      <c r="L17" s="147"/>
      <c r="M17" s="147"/>
      <c r="N17" s="14"/>
      <c r="O17" s="14"/>
      <c r="P17" s="18"/>
      <c r="Q17" s="18"/>
      <c r="R17" s="18"/>
      <c r="S17" s="18"/>
      <c r="T17" s="18"/>
    </row>
    <row r="18" spans="1:20" x14ac:dyDescent="0.2">
      <c r="A18" s="147">
        <v>19</v>
      </c>
      <c r="B18" s="149" t="s">
        <v>32</v>
      </c>
      <c r="C18" s="147" t="s">
        <v>58</v>
      </c>
      <c r="D18" s="164">
        <v>12</v>
      </c>
      <c r="E18" s="147">
        <v>0.15</v>
      </c>
      <c r="F18" s="14"/>
      <c r="G18" s="14"/>
      <c r="H18" s="179"/>
      <c r="I18" s="147"/>
      <c r="J18" s="147"/>
      <c r="K18" s="147"/>
      <c r="L18" s="147"/>
      <c r="M18" s="147"/>
      <c r="N18" s="14"/>
      <c r="O18" s="14"/>
      <c r="P18" s="18"/>
      <c r="Q18" s="18"/>
      <c r="R18" s="18"/>
      <c r="S18" s="18"/>
      <c r="T18" s="18"/>
    </row>
    <row r="19" spans="1:20" x14ac:dyDescent="0.2">
      <c r="A19" s="147">
        <v>20</v>
      </c>
      <c r="B19" s="149" t="s">
        <v>117</v>
      </c>
      <c r="C19" s="147" t="s">
        <v>58</v>
      </c>
      <c r="D19" s="164">
        <v>2</v>
      </c>
      <c r="E19" s="147">
        <v>0.2</v>
      </c>
      <c r="F19" s="14"/>
      <c r="G19" s="14"/>
      <c r="H19" s="179"/>
      <c r="I19" s="147"/>
      <c r="J19" s="147"/>
      <c r="K19" s="147"/>
      <c r="L19" s="147"/>
      <c r="M19" s="147"/>
      <c r="N19" s="14"/>
      <c r="O19" s="14"/>
      <c r="P19" s="18"/>
      <c r="Q19" s="18"/>
      <c r="R19" s="18"/>
      <c r="S19" s="18"/>
      <c r="T19" s="18"/>
    </row>
    <row r="20" spans="1:20" x14ac:dyDescent="0.2">
      <c r="A20" s="35">
        <v>21</v>
      </c>
      <c r="B20" s="149" t="s">
        <v>33</v>
      </c>
      <c r="C20" s="147" t="s">
        <v>58</v>
      </c>
      <c r="D20" s="164"/>
      <c r="E20" s="35">
        <v>0.17</v>
      </c>
      <c r="F20" s="19"/>
      <c r="G20" s="19"/>
      <c r="H20" s="183"/>
      <c r="I20" s="35"/>
      <c r="J20" s="35"/>
      <c r="K20" s="35"/>
      <c r="L20" s="147"/>
      <c r="M20" s="147"/>
      <c r="N20" s="14"/>
      <c r="O20" s="14"/>
      <c r="P20" s="18"/>
      <c r="Q20" s="18"/>
      <c r="R20" s="18"/>
      <c r="S20" s="18"/>
      <c r="T20" s="18"/>
    </row>
    <row r="21" spans="1:20" x14ac:dyDescent="0.2">
      <c r="A21" s="147">
        <v>17</v>
      </c>
      <c r="B21" s="149" t="s">
        <v>34</v>
      </c>
      <c r="C21" s="147" t="s">
        <v>58</v>
      </c>
      <c r="D21" s="164"/>
      <c r="E21" s="147">
        <v>0.15</v>
      </c>
      <c r="F21" s="14"/>
      <c r="G21" s="14"/>
      <c r="H21" s="179"/>
      <c r="I21" s="147"/>
      <c r="J21" s="147"/>
      <c r="K21" s="147"/>
      <c r="L21" s="147"/>
      <c r="M21" s="147"/>
      <c r="N21" s="14"/>
      <c r="O21" s="14"/>
      <c r="P21" s="18"/>
      <c r="Q21" s="27"/>
      <c r="R21" s="27"/>
      <c r="S21" s="74"/>
      <c r="T21" s="27"/>
    </row>
    <row r="22" spans="1:20" x14ac:dyDescent="0.2">
      <c r="A22" s="144"/>
      <c r="B22" s="158" t="s">
        <v>35</v>
      </c>
      <c r="C22" s="144"/>
      <c r="D22" s="172"/>
      <c r="E22" s="144"/>
      <c r="F22" s="16"/>
      <c r="G22" s="16"/>
      <c r="H22" s="184"/>
      <c r="I22" s="144"/>
      <c r="J22" s="144"/>
      <c r="K22" s="144"/>
      <c r="L22" s="145"/>
      <c r="M22" s="145"/>
      <c r="N22" s="12"/>
      <c r="O22" s="12"/>
      <c r="P22" s="28"/>
      <c r="Q22" s="28"/>
      <c r="R22" s="28"/>
      <c r="S22" s="28"/>
      <c r="T22" s="72"/>
    </row>
    <row r="23" spans="1:20" x14ac:dyDescent="0.2">
      <c r="A23" s="147">
        <v>18</v>
      </c>
      <c r="B23" s="159" t="s">
        <v>38</v>
      </c>
      <c r="C23" s="147" t="s">
        <v>58</v>
      </c>
      <c r="D23" s="164"/>
      <c r="E23" s="147">
        <v>0.25</v>
      </c>
      <c r="F23" s="14"/>
      <c r="G23" s="14"/>
      <c r="H23" s="179"/>
      <c r="I23" s="147"/>
      <c r="J23" s="147"/>
      <c r="K23" s="147"/>
      <c r="L23" s="147"/>
      <c r="M23" s="147"/>
      <c r="N23" s="14"/>
      <c r="O23" s="14"/>
      <c r="P23" s="18"/>
      <c r="Q23" s="29"/>
      <c r="R23" s="29"/>
      <c r="S23" s="29"/>
      <c r="T23" s="29"/>
    </row>
    <row r="24" spans="1:20" x14ac:dyDescent="0.2">
      <c r="A24" s="144"/>
      <c r="B24" s="160" t="s">
        <v>39</v>
      </c>
      <c r="C24" s="144"/>
      <c r="D24" s="172"/>
      <c r="E24" s="144"/>
      <c r="F24" s="16"/>
      <c r="G24" s="16"/>
      <c r="H24" s="184"/>
      <c r="I24" s="144"/>
      <c r="J24" s="144"/>
      <c r="K24" s="144"/>
      <c r="L24" s="144"/>
      <c r="M24" s="144"/>
      <c r="N24" s="16"/>
      <c r="O24" s="16"/>
      <c r="P24" s="28"/>
      <c r="Q24" s="72"/>
      <c r="R24" s="28"/>
      <c r="S24" s="28"/>
      <c r="T24" s="72"/>
    </row>
    <row r="25" spans="1:20" ht="22.5" x14ac:dyDescent="0.2">
      <c r="A25" s="147">
        <v>19</v>
      </c>
      <c r="B25" s="159" t="s">
        <v>59</v>
      </c>
      <c r="C25" s="147" t="s">
        <v>62</v>
      </c>
      <c r="D25" s="164"/>
      <c r="E25" s="157" t="s">
        <v>60</v>
      </c>
      <c r="F25" s="154">
        <v>2</v>
      </c>
      <c r="G25" s="154"/>
      <c r="H25" s="185"/>
      <c r="I25" s="157"/>
      <c r="J25" s="157"/>
      <c r="K25" s="199"/>
      <c r="L25" s="199"/>
      <c r="M25" s="199"/>
      <c r="N25" s="88"/>
      <c r="O25" s="88"/>
      <c r="P25" s="18"/>
      <c r="Q25" s="62"/>
      <c r="R25" s="62"/>
      <c r="S25" s="62"/>
      <c r="T25" s="62"/>
    </row>
    <row r="26" spans="1:20" x14ac:dyDescent="0.2">
      <c r="A26" s="147">
        <v>20</v>
      </c>
      <c r="B26" s="159" t="s">
        <v>40</v>
      </c>
      <c r="C26" s="348" t="s">
        <v>61</v>
      </c>
      <c r="D26" s="173"/>
      <c r="E26" s="344" t="s">
        <v>63</v>
      </c>
      <c r="F26" s="349">
        <v>2</v>
      </c>
      <c r="G26" s="154"/>
      <c r="H26" s="186"/>
      <c r="I26" s="146"/>
      <c r="J26" s="146"/>
      <c r="K26" s="198"/>
      <c r="L26" s="198"/>
      <c r="M26" s="198"/>
      <c r="N26" s="365"/>
      <c r="O26" s="88"/>
      <c r="P26" s="366"/>
      <c r="Q26" s="366"/>
      <c r="R26" s="366"/>
      <c r="S26" s="366"/>
      <c r="T26" s="366"/>
    </row>
    <row r="27" spans="1:20" x14ac:dyDescent="0.2">
      <c r="A27" s="144"/>
      <c r="B27" s="160" t="s">
        <v>41</v>
      </c>
      <c r="C27" s="345"/>
      <c r="D27" s="174"/>
      <c r="E27" s="345"/>
      <c r="F27" s="347"/>
      <c r="G27" s="151"/>
      <c r="H27" s="187"/>
      <c r="I27" s="156"/>
      <c r="J27" s="156"/>
      <c r="K27" s="99"/>
      <c r="L27" s="99"/>
      <c r="M27" s="99"/>
      <c r="N27" s="365"/>
      <c r="O27" s="88"/>
      <c r="P27" s="365"/>
      <c r="Q27" s="365"/>
      <c r="R27" s="365"/>
      <c r="S27" s="365"/>
      <c r="T27" s="365"/>
    </row>
    <row r="28" spans="1:20" x14ac:dyDescent="0.2">
      <c r="A28" s="147">
        <v>21</v>
      </c>
      <c r="B28" s="159" t="s">
        <v>42</v>
      </c>
      <c r="C28" s="348" t="s">
        <v>58</v>
      </c>
      <c r="D28" s="173"/>
      <c r="E28" s="348">
        <v>0.2</v>
      </c>
      <c r="F28" s="349">
        <v>2</v>
      </c>
      <c r="G28" s="154"/>
      <c r="H28" s="188"/>
      <c r="I28" s="155"/>
      <c r="J28" s="155"/>
      <c r="K28" s="99"/>
      <c r="L28" s="99"/>
      <c r="M28" s="99"/>
      <c r="N28" s="365"/>
      <c r="O28" s="88"/>
      <c r="P28" s="366"/>
      <c r="Q28" s="366"/>
      <c r="R28" s="366"/>
      <c r="S28" s="366"/>
      <c r="T28" s="366"/>
    </row>
    <row r="29" spans="1:20" x14ac:dyDescent="0.2">
      <c r="A29" s="144"/>
      <c r="B29" s="160" t="s">
        <v>43</v>
      </c>
      <c r="C29" s="345"/>
      <c r="D29" s="174"/>
      <c r="E29" s="345"/>
      <c r="F29" s="347"/>
      <c r="G29" s="151"/>
      <c r="H29" s="187"/>
      <c r="I29" s="156"/>
      <c r="J29" s="156"/>
      <c r="K29" s="99"/>
      <c r="L29" s="99"/>
      <c r="M29" s="99"/>
      <c r="N29" s="365"/>
      <c r="O29" s="88"/>
      <c r="P29" s="365"/>
      <c r="Q29" s="365"/>
      <c r="R29" s="365"/>
      <c r="S29" s="365"/>
      <c r="T29" s="365"/>
    </row>
    <row r="30" spans="1:20" x14ac:dyDescent="0.2">
      <c r="A30" s="147">
        <v>22</v>
      </c>
      <c r="B30" s="159" t="s">
        <v>44</v>
      </c>
      <c r="C30" s="348" t="s">
        <v>64</v>
      </c>
      <c r="D30" s="173"/>
      <c r="E30" s="344" t="s">
        <v>65</v>
      </c>
      <c r="F30" s="349">
        <v>2</v>
      </c>
      <c r="G30" s="154"/>
      <c r="H30" s="186"/>
      <c r="I30" s="146"/>
      <c r="J30" s="146"/>
      <c r="K30" s="198"/>
      <c r="L30" s="198"/>
      <c r="M30" s="198"/>
      <c r="N30" s="365"/>
      <c r="O30" s="88"/>
      <c r="P30" s="366"/>
      <c r="Q30" s="366"/>
      <c r="R30" s="366"/>
      <c r="S30" s="366"/>
      <c r="T30" s="366"/>
    </row>
    <row r="31" spans="1:20" x14ac:dyDescent="0.2">
      <c r="A31" s="144"/>
      <c r="B31" s="160" t="s">
        <v>45</v>
      </c>
      <c r="C31" s="345"/>
      <c r="D31" s="174"/>
      <c r="E31" s="350"/>
      <c r="F31" s="347"/>
      <c r="G31" s="151"/>
      <c r="H31" s="189"/>
      <c r="I31" s="153"/>
      <c r="J31" s="153"/>
      <c r="K31" s="198"/>
      <c r="L31" s="198"/>
      <c r="M31" s="198"/>
      <c r="N31" s="365"/>
      <c r="O31" s="88"/>
      <c r="P31" s="365"/>
      <c r="Q31" s="365"/>
      <c r="R31" s="365"/>
      <c r="S31" s="365"/>
      <c r="T31" s="365"/>
    </row>
    <row r="32" spans="1:20" s="54" customFormat="1" x14ac:dyDescent="0.2">
      <c r="A32" s="49"/>
      <c r="B32" s="194" t="s">
        <v>265</v>
      </c>
      <c r="C32" s="50"/>
      <c r="D32" s="164"/>
      <c r="E32" s="49"/>
      <c r="F32" s="51"/>
      <c r="G32" s="51"/>
      <c r="H32" s="183"/>
      <c r="I32" s="49"/>
      <c r="J32" s="49"/>
      <c r="K32" s="49"/>
      <c r="L32" s="49"/>
      <c r="M32" s="49"/>
      <c r="N32" s="51"/>
      <c r="O32" s="51"/>
      <c r="P32" s="18"/>
      <c r="Q32" s="18"/>
      <c r="R32" s="18"/>
      <c r="S32" s="18"/>
      <c r="T32" s="18"/>
    </row>
    <row r="33" spans="1:20" x14ac:dyDescent="0.2">
      <c r="A33" s="144"/>
      <c r="B33" s="152" t="s">
        <v>68</v>
      </c>
      <c r="C33" s="43"/>
      <c r="D33" s="175"/>
      <c r="E33" s="144"/>
      <c r="F33" s="144"/>
      <c r="G33" s="144"/>
      <c r="H33" s="184"/>
      <c r="I33" s="144"/>
      <c r="J33" s="144"/>
      <c r="K33" s="35"/>
      <c r="L33" s="35"/>
      <c r="M33" s="35"/>
      <c r="N33" s="35"/>
      <c r="O33" s="35"/>
      <c r="P33" s="18"/>
      <c r="Q33" s="17"/>
      <c r="R33" s="18"/>
      <c r="S33" s="18"/>
      <c r="T33" s="28"/>
    </row>
    <row r="34" spans="1:20" x14ac:dyDescent="0.2">
      <c r="A34" s="144"/>
      <c r="B34" s="195" t="s">
        <v>266</v>
      </c>
      <c r="C34" s="43"/>
      <c r="D34" s="175"/>
      <c r="E34" s="144"/>
      <c r="F34" s="145"/>
      <c r="G34" s="145"/>
      <c r="H34" s="190"/>
      <c r="I34" s="145"/>
      <c r="J34" s="145"/>
      <c r="K34" s="35"/>
      <c r="L34" s="35"/>
      <c r="M34" s="35"/>
      <c r="N34" s="35"/>
      <c r="O34" s="35"/>
      <c r="P34" s="18"/>
      <c r="Q34" s="17"/>
      <c r="R34" s="18"/>
      <c r="S34" s="18"/>
      <c r="T34" s="28"/>
    </row>
    <row r="35" spans="1:20" x14ac:dyDescent="0.2">
      <c r="A35" s="144"/>
      <c r="B35" s="152" t="s">
        <v>49</v>
      </c>
      <c r="C35" s="144" t="s">
        <v>103</v>
      </c>
      <c r="D35" s="172"/>
      <c r="E35" s="144">
        <v>83</v>
      </c>
      <c r="F35" s="145"/>
      <c r="G35" s="145"/>
      <c r="H35" s="190"/>
      <c r="I35" s="145"/>
      <c r="J35" s="145"/>
      <c r="K35" s="35"/>
      <c r="L35" s="35"/>
      <c r="M35" s="35"/>
      <c r="N35" s="35"/>
      <c r="O35" s="35"/>
      <c r="P35" s="18"/>
      <c r="Q35" s="17"/>
      <c r="R35" s="18"/>
      <c r="S35" s="18"/>
      <c r="T35" s="18"/>
    </row>
    <row r="36" spans="1:20" x14ac:dyDescent="0.2">
      <c r="A36" s="144"/>
      <c r="B36" s="161" t="s">
        <v>50</v>
      </c>
      <c r="C36" s="144" t="s">
        <v>51</v>
      </c>
      <c r="D36" s="172"/>
      <c r="E36" s="144">
        <v>2</v>
      </c>
      <c r="F36" s="145"/>
      <c r="G36" s="145"/>
      <c r="H36" s="190"/>
      <c r="I36" s="145"/>
      <c r="J36" s="145"/>
      <c r="K36" s="35"/>
      <c r="L36" s="35"/>
      <c r="M36" s="35"/>
      <c r="N36" s="35"/>
      <c r="O36" s="35"/>
      <c r="P36" s="18"/>
      <c r="Q36" s="17"/>
      <c r="R36" s="18"/>
      <c r="S36" s="18"/>
      <c r="T36" s="28"/>
    </row>
    <row r="37" spans="1:20" x14ac:dyDescent="0.2">
      <c r="A37" s="144"/>
      <c r="B37" s="162" t="s">
        <v>267</v>
      </c>
      <c r="C37" s="37"/>
      <c r="D37" s="176"/>
      <c r="E37" s="37"/>
      <c r="F37" s="45"/>
      <c r="G37" s="37"/>
      <c r="H37" s="191"/>
      <c r="I37" s="37"/>
      <c r="J37" s="37"/>
      <c r="K37" s="45"/>
      <c r="L37" s="45"/>
      <c r="M37" s="45"/>
      <c r="N37" s="57"/>
      <c r="O37" s="57"/>
      <c r="P37" s="18"/>
      <c r="Q37" s="17"/>
      <c r="R37" s="18"/>
      <c r="S37" s="18"/>
      <c r="T37" s="33"/>
    </row>
    <row r="38" spans="1:20" x14ac:dyDescent="0.2">
      <c r="A38" s="150"/>
      <c r="B38" s="163"/>
      <c r="C38" s="141"/>
      <c r="D38" s="177"/>
      <c r="E38" s="141"/>
      <c r="F38" s="141"/>
      <c r="G38" s="141"/>
      <c r="H38" s="192"/>
      <c r="I38" s="141"/>
      <c r="J38" s="141"/>
      <c r="K38" s="141"/>
      <c r="L38" s="141"/>
      <c r="M38" s="141"/>
      <c r="N38" s="68"/>
      <c r="O38" s="68"/>
    </row>
  </sheetData>
  <mergeCells count="28">
    <mergeCell ref="S30:S31"/>
    <mergeCell ref="T30:T31"/>
    <mergeCell ref="R28:R29"/>
    <mergeCell ref="S28:S29"/>
    <mergeCell ref="T28:T29"/>
    <mergeCell ref="Q30:Q31"/>
    <mergeCell ref="R30:R31"/>
    <mergeCell ref="C28:C29"/>
    <mergeCell ref="E28:E29"/>
    <mergeCell ref="F28:F29"/>
    <mergeCell ref="N28:N29"/>
    <mergeCell ref="P28:P29"/>
    <mergeCell ref="Q28:Q29"/>
    <mergeCell ref="C30:C31"/>
    <mergeCell ref="E30:E31"/>
    <mergeCell ref="F30:F31"/>
    <mergeCell ref="N30:N31"/>
    <mergeCell ref="P30:P31"/>
    <mergeCell ref="A3:T3"/>
    <mergeCell ref="C26:C27"/>
    <mergeCell ref="E26:E27"/>
    <mergeCell ref="F26:F27"/>
    <mergeCell ref="N26:N27"/>
    <mergeCell ref="P26:P27"/>
    <mergeCell ref="Q26:Q27"/>
    <mergeCell ref="R26:R27"/>
    <mergeCell ref="S26:S27"/>
    <mergeCell ref="T26:T2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workbookViewId="0">
      <selection activeCell="A15" sqref="A15:XFD15"/>
    </sheetView>
  </sheetViews>
  <sheetFormatPr defaultRowHeight="12.75" x14ac:dyDescent="0.2"/>
  <cols>
    <col min="1" max="1" width="4" style="148" customWidth="1"/>
    <col min="2" max="2" width="38" style="87" customWidth="1"/>
    <col min="3" max="3" width="7.7109375" style="148" customWidth="1"/>
    <col min="4" max="4" width="7.7109375" style="178" customWidth="1"/>
    <col min="5" max="5" width="11" style="148" customWidth="1"/>
    <col min="6" max="6" width="9.85546875" style="142" customWidth="1"/>
    <col min="7" max="7" width="12.42578125" style="142" customWidth="1"/>
    <col min="8" max="8" width="11" style="193" customWidth="1"/>
    <col min="9" max="13" width="11" style="148" customWidth="1"/>
    <col min="14" max="15" width="9.5703125" style="142" customWidth="1"/>
    <col min="16" max="17" width="7.85546875" style="142" customWidth="1"/>
    <col min="18" max="18" width="8.28515625" style="142" customWidth="1"/>
    <col min="19" max="19" width="9.140625" style="142"/>
    <col min="20" max="20" width="9.5703125" style="142" bestFit="1" customWidth="1"/>
    <col min="21" max="16384" width="9.140625" style="142"/>
  </cols>
  <sheetData>
    <row r="1" spans="1:24" x14ac:dyDescent="0.2">
      <c r="A1" s="142"/>
      <c r="C1" s="142"/>
      <c r="D1" s="169"/>
      <c r="E1" s="142"/>
      <c r="H1" s="180"/>
      <c r="I1" s="142"/>
      <c r="J1" s="142"/>
      <c r="K1" s="142"/>
      <c r="L1" s="142"/>
      <c r="M1" s="142"/>
    </row>
    <row r="2" spans="1:24" x14ac:dyDescent="0.2">
      <c r="A2" s="142"/>
      <c r="C2" s="142"/>
      <c r="D2" s="169"/>
      <c r="E2" s="142"/>
      <c r="H2" s="180"/>
      <c r="I2" s="142"/>
      <c r="J2" s="142"/>
      <c r="K2" s="142"/>
      <c r="L2" s="142"/>
      <c r="M2" s="142"/>
    </row>
    <row r="3" spans="1:24" x14ac:dyDescent="0.2">
      <c r="A3" s="272" t="s">
        <v>270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150"/>
      <c r="V3" s="150"/>
      <c r="W3" s="150"/>
      <c r="X3" s="150"/>
    </row>
    <row r="4" spans="1:24" x14ac:dyDescent="0.2">
      <c r="A4" s="141"/>
      <c r="B4" s="111"/>
      <c r="C4" s="150"/>
      <c r="D4" s="170"/>
      <c r="E4" s="150"/>
      <c r="F4" s="150"/>
      <c r="G4" s="150"/>
      <c r="H4" s="181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</row>
    <row r="5" spans="1:24" s="205" customFormat="1" ht="63.75" x14ac:dyDescent="0.2">
      <c r="A5" s="200" t="s">
        <v>248</v>
      </c>
      <c r="B5" s="200" t="s">
        <v>246</v>
      </c>
      <c r="C5" s="200" t="s">
        <v>151</v>
      </c>
      <c r="D5" s="201" t="s">
        <v>249</v>
      </c>
      <c r="E5" s="200" t="s">
        <v>250</v>
      </c>
      <c r="F5" s="200" t="s">
        <v>251</v>
      </c>
      <c r="G5" s="79" t="s">
        <v>269</v>
      </c>
      <c r="H5" s="202" t="s">
        <v>247</v>
      </c>
      <c r="I5" s="200" t="s">
        <v>255</v>
      </c>
      <c r="J5" s="200" t="s">
        <v>253</v>
      </c>
      <c r="K5" s="200" t="s">
        <v>252</v>
      </c>
      <c r="L5" s="200" t="s">
        <v>263</v>
      </c>
      <c r="M5" s="200" t="s">
        <v>264</v>
      </c>
      <c r="N5" s="200" t="s">
        <v>256</v>
      </c>
      <c r="O5" s="203" t="s">
        <v>257</v>
      </c>
      <c r="P5" s="203" t="s">
        <v>258</v>
      </c>
      <c r="Q5" s="196" t="s">
        <v>259</v>
      </c>
      <c r="R5" s="197" t="s">
        <v>260</v>
      </c>
      <c r="S5" s="197" t="s">
        <v>261</v>
      </c>
      <c r="T5" s="204" t="s">
        <v>262</v>
      </c>
    </row>
    <row r="6" spans="1:24" ht="25.5" x14ac:dyDescent="0.2">
      <c r="A6" s="147">
        <v>1</v>
      </c>
      <c r="B6" s="149" t="s">
        <v>271</v>
      </c>
      <c r="C6" s="147" t="s">
        <v>159</v>
      </c>
      <c r="D6" s="164"/>
      <c r="E6" s="147">
        <v>100</v>
      </c>
      <c r="F6" s="14">
        <v>3</v>
      </c>
      <c r="G6" s="14">
        <v>1</v>
      </c>
      <c r="H6" s="179"/>
      <c r="I6" s="147">
        <f t="shared" ref="I6:I11" si="0">H6*G6*F6*E6*D6/100</f>
        <v>0</v>
      </c>
      <c r="J6" s="147"/>
      <c r="K6" s="147"/>
      <c r="L6" s="147"/>
      <c r="M6" s="147"/>
      <c r="N6" s="14"/>
      <c r="O6" s="14"/>
      <c r="P6" s="18"/>
      <c r="Q6" s="18"/>
      <c r="R6" s="18"/>
      <c r="S6" s="18"/>
      <c r="T6" s="18"/>
      <c r="W6" s="59"/>
    </row>
    <row r="7" spans="1:24" x14ac:dyDescent="0.2">
      <c r="A7" s="147">
        <v>2</v>
      </c>
      <c r="B7" s="149" t="s">
        <v>272</v>
      </c>
      <c r="C7" s="147" t="s">
        <v>159</v>
      </c>
      <c r="D7" s="164"/>
      <c r="E7" s="147">
        <v>100</v>
      </c>
      <c r="F7" s="14">
        <v>1</v>
      </c>
      <c r="G7" s="14">
        <v>1</v>
      </c>
      <c r="H7" s="179"/>
      <c r="I7" s="147">
        <f t="shared" si="0"/>
        <v>0</v>
      </c>
      <c r="J7" s="147"/>
      <c r="K7" s="147"/>
      <c r="L7" s="147"/>
      <c r="M7" s="147"/>
      <c r="N7" s="14"/>
      <c r="O7" s="14"/>
      <c r="P7" s="18"/>
      <c r="Q7" s="27"/>
      <c r="R7" s="27"/>
      <c r="S7" s="27"/>
      <c r="T7" s="27"/>
    </row>
    <row r="8" spans="1:24" ht="15.75" customHeight="1" x14ac:dyDescent="0.2">
      <c r="A8" s="147">
        <v>3</v>
      </c>
      <c r="B8" s="149" t="s">
        <v>273</v>
      </c>
      <c r="C8" s="147" t="s">
        <v>159</v>
      </c>
      <c r="D8" s="164"/>
      <c r="E8" s="147">
        <v>10</v>
      </c>
      <c r="F8" s="14">
        <v>1</v>
      </c>
      <c r="G8" s="14">
        <v>1</v>
      </c>
      <c r="H8" s="179"/>
      <c r="I8" s="147">
        <f t="shared" si="0"/>
        <v>0</v>
      </c>
      <c r="J8" s="147"/>
      <c r="K8" s="147"/>
      <c r="L8" s="147"/>
      <c r="M8" s="147"/>
      <c r="N8" s="14"/>
      <c r="O8" s="14"/>
      <c r="P8" s="27"/>
      <c r="Q8" s="27"/>
      <c r="R8" s="27"/>
      <c r="S8" s="27"/>
      <c r="T8" s="27"/>
      <c r="W8" s="59"/>
    </row>
    <row r="9" spans="1:24" x14ac:dyDescent="0.2">
      <c r="A9" s="147">
        <v>4</v>
      </c>
      <c r="B9" s="149" t="s">
        <v>274</v>
      </c>
      <c r="C9" s="147" t="s">
        <v>159</v>
      </c>
      <c r="D9" s="164"/>
      <c r="E9" s="147">
        <v>10</v>
      </c>
      <c r="F9" s="14">
        <v>1</v>
      </c>
      <c r="G9" s="14">
        <v>1</v>
      </c>
      <c r="H9" s="179"/>
      <c r="I9" s="147">
        <f t="shared" si="0"/>
        <v>0</v>
      </c>
      <c r="J9" s="147"/>
      <c r="K9" s="147"/>
      <c r="L9" s="147"/>
      <c r="M9" s="147"/>
      <c r="N9" s="14"/>
      <c r="O9" s="14"/>
      <c r="P9" s="27"/>
      <c r="Q9" s="27"/>
      <c r="R9" s="27"/>
      <c r="S9" s="27"/>
      <c r="T9" s="27"/>
      <c r="W9" s="70"/>
    </row>
    <row r="10" spans="1:24" s="169" customFormat="1" ht="38.25" x14ac:dyDescent="0.2">
      <c r="A10" s="147">
        <v>5</v>
      </c>
      <c r="B10" s="165" t="s">
        <v>275</v>
      </c>
      <c r="C10" s="164" t="s">
        <v>159</v>
      </c>
      <c r="D10" s="164"/>
      <c r="E10" s="206">
        <v>5</v>
      </c>
      <c r="F10" s="166">
        <v>1</v>
      </c>
      <c r="G10" s="166">
        <v>1</v>
      </c>
      <c r="H10" s="164"/>
      <c r="I10" s="164"/>
      <c r="J10" s="164"/>
      <c r="K10" s="164"/>
      <c r="L10" s="164"/>
      <c r="M10" s="164"/>
      <c r="N10" s="166"/>
      <c r="O10" s="166"/>
      <c r="P10" s="167"/>
      <c r="Q10" s="168"/>
      <c r="R10" s="168"/>
      <c r="S10" s="168"/>
      <c r="T10" s="168"/>
    </row>
    <row r="11" spans="1:24" ht="51" x14ac:dyDescent="0.2">
      <c r="A11" s="147">
        <v>6</v>
      </c>
      <c r="B11" s="149" t="s">
        <v>276</v>
      </c>
      <c r="C11" s="147" t="s">
        <v>159</v>
      </c>
      <c r="D11" s="164"/>
      <c r="E11" s="147">
        <v>100</v>
      </c>
      <c r="F11" s="14">
        <v>360</v>
      </c>
      <c r="G11" s="14">
        <v>1</v>
      </c>
      <c r="H11" s="179">
        <v>0.3</v>
      </c>
      <c r="I11" s="147">
        <f t="shared" si="0"/>
        <v>0</v>
      </c>
      <c r="J11" s="147"/>
      <c r="K11" s="147"/>
      <c r="L11" s="147"/>
      <c r="M11" s="147"/>
      <c r="N11" s="14"/>
      <c r="O11" s="14"/>
      <c r="P11" s="18"/>
      <c r="Q11" s="18"/>
      <c r="R11" s="18"/>
      <c r="S11" s="18"/>
      <c r="T11" s="18"/>
    </row>
    <row r="12" spans="1:24" s="169" customFormat="1" ht="25.5" x14ac:dyDescent="0.2">
      <c r="A12" s="147">
        <v>7</v>
      </c>
      <c r="B12" s="165" t="s">
        <v>277</v>
      </c>
      <c r="C12" s="164" t="s">
        <v>159</v>
      </c>
      <c r="D12" s="164"/>
      <c r="E12" s="164" t="s">
        <v>254</v>
      </c>
      <c r="F12" s="166"/>
      <c r="G12" s="166"/>
      <c r="H12" s="179"/>
      <c r="I12" s="164"/>
      <c r="J12" s="164"/>
      <c r="K12" s="164"/>
      <c r="L12" s="164"/>
      <c r="M12" s="164"/>
      <c r="N12" s="166"/>
      <c r="O12" s="166"/>
      <c r="P12" s="167"/>
      <c r="Q12" s="168"/>
      <c r="R12" s="168"/>
      <c r="S12" s="168"/>
      <c r="T12" s="168"/>
    </row>
    <row r="13" spans="1:24" x14ac:dyDescent="0.2">
      <c r="A13" s="143"/>
      <c r="B13" s="158"/>
      <c r="C13" s="143"/>
      <c r="D13" s="171"/>
      <c r="E13" s="143"/>
      <c r="F13" s="15"/>
      <c r="G13" s="15"/>
      <c r="H13" s="182"/>
      <c r="I13" s="143"/>
      <c r="J13" s="143"/>
      <c r="K13" s="143"/>
      <c r="L13" s="143"/>
      <c r="M13" s="143"/>
      <c r="N13" s="15"/>
      <c r="O13" s="15"/>
      <c r="P13" s="28"/>
      <c r="Q13" s="28"/>
      <c r="R13" s="28"/>
      <c r="S13" s="28"/>
      <c r="T13" s="28"/>
    </row>
    <row r="14" spans="1:24" x14ac:dyDescent="0.2">
      <c r="A14" s="147">
        <v>16</v>
      </c>
      <c r="B14" s="149"/>
      <c r="C14" s="147"/>
      <c r="D14" s="164"/>
      <c r="E14" s="147"/>
      <c r="F14" s="14"/>
      <c r="G14" s="14"/>
      <c r="H14" s="179"/>
      <c r="I14" s="147"/>
      <c r="J14" s="147"/>
      <c r="K14" s="147"/>
      <c r="L14" s="147"/>
      <c r="M14" s="147"/>
      <c r="N14" s="14"/>
      <c r="O14" s="14"/>
      <c r="P14" s="18"/>
      <c r="Q14" s="27"/>
      <c r="R14" s="27"/>
      <c r="S14" s="27"/>
      <c r="T14" s="27"/>
    </row>
    <row r="15" spans="1:24" x14ac:dyDescent="0.2">
      <c r="A15" s="143"/>
      <c r="B15" s="158"/>
      <c r="C15" s="144"/>
      <c r="D15" s="171"/>
      <c r="E15" s="143"/>
      <c r="F15" s="15"/>
      <c r="G15" s="15"/>
      <c r="H15" s="182"/>
      <c r="I15" s="143"/>
      <c r="J15" s="143"/>
      <c r="K15" s="143"/>
      <c r="L15" s="143"/>
      <c r="M15" s="143"/>
      <c r="N15" s="16"/>
      <c r="O15" s="16"/>
      <c r="P15" s="28"/>
      <c r="Q15" s="28"/>
      <c r="R15" s="28"/>
      <c r="S15" s="28"/>
      <c r="T15" s="28"/>
    </row>
    <row r="16" spans="1:24" x14ac:dyDescent="0.2">
      <c r="A16" s="147">
        <v>17</v>
      </c>
      <c r="B16" s="149" t="s">
        <v>31</v>
      </c>
      <c r="C16" s="147" t="s">
        <v>58</v>
      </c>
      <c r="D16" s="164">
        <v>12</v>
      </c>
      <c r="E16" s="147">
        <v>1.9</v>
      </c>
      <c r="F16" s="14"/>
      <c r="G16" s="14"/>
      <c r="H16" s="179"/>
      <c r="I16" s="147"/>
      <c r="J16" s="147"/>
      <c r="K16" s="147"/>
      <c r="L16" s="147"/>
      <c r="M16" s="147"/>
      <c r="N16" s="14"/>
      <c r="O16" s="14"/>
      <c r="P16" s="18"/>
      <c r="Q16" s="27"/>
      <c r="R16" s="27"/>
      <c r="S16" s="27"/>
      <c r="T16" s="27"/>
    </row>
    <row r="17" spans="1:20" x14ac:dyDescent="0.2">
      <c r="A17" s="143"/>
      <c r="B17" s="158" t="s">
        <v>116</v>
      </c>
      <c r="C17" s="143"/>
      <c r="D17" s="171"/>
      <c r="E17" s="143"/>
      <c r="F17" s="15"/>
      <c r="G17" s="15"/>
      <c r="H17" s="182"/>
      <c r="I17" s="143"/>
      <c r="J17" s="143"/>
      <c r="K17" s="143"/>
      <c r="L17" s="143"/>
      <c r="M17" s="143"/>
      <c r="N17" s="15"/>
      <c r="O17" s="15"/>
      <c r="P17" s="29"/>
      <c r="Q17" s="29"/>
      <c r="R17" s="29"/>
      <c r="S17" s="29"/>
      <c r="T17" s="29"/>
    </row>
    <row r="18" spans="1:20" x14ac:dyDescent="0.2">
      <c r="A18" s="147">
        <v>18</v>
      </c>
      <c r="B18" s="149" t="s">
        <v>30</v>
      </c>
      <c r="C18" s="147" t="s">
        <v>58</v>
      </c>
      <c r="D18" s="164">
        <v>12</v>
      </c>
      <c r="E18" s="147">
        <v>0.15</v>
      </c>
      <c r="F18" s="14"/>
      <c r="G18" s="14"/>
      <c r="H18" s="179"/>
      <c r="I18" s="147"/>
      <c r="J18" s="147"/>
      <c r="K18" s="147"/>
      <c r="L18" s="147"/>
      <c r="M18" s="147"/>
      <c r="N18" s="14"/>
      <c r="O18" s="14"/>
      <c r="P18" s="18"/>
      <c r="Q18" s="18"/>
      <c r="R18" s="18"/>
      <c r="S18" s="18"/>
      <c r="T18" s="18"/>
    </row>
    <row r="19" spans="1:20" x14ac:dyDescent="0.2">
      <c r="A19" s="147">
        <v>19</v>
      </c>
      <c r="B19" s="149" t="s">
        <v>32</v>
      </c>
      <c r="C19" s="147" t="s">
        <v>58</v>
      </c>
      <c r="D19" s="164">
        <v>12</v>
      </c>
      <c r="E19" s="147">
        <v>0.15</v>
      </c>
      <c r="F19" s="14"/>
      <c r="G19" s="14"/>
      <c r="H19" s="179"/>
      <c r="I19" s="147"/>
      <c r="J19" s="147"/>
      <c r="K19" s="147"/>
      <c r="L19" s="147"/>
      <c r="M19" s="147"/>
      <c r="N19" s="14"/>
      <c r="O19" s="14"/>
      <c r="P19" s="18"/>
      <c r="Q19" s="18"/>
      <c r="R19" s="18"/>
      <c r="S19" s="18"/>
      <c r="T19" s="18"/>
    </row>
    <row r="20" spans="1:20" x14ac:dyDescent="0.2">
      <c r="A20" s="147">
        <v>20</v>
      </c>
      <c r="B20" s="149" t="s">
        <v>117</v>
      </c>
      <c r="C20" s="147" t="s">
        <v>58</v>
      </c>
      <c r="D20" s="164">
        <v>2</v>
      </c>
      <c r="E20" s="147">
        <v>0.2</v>
      </c>
      <c r="F20" s="14"/>
      <c r="G20" s="14"/>
      <c r="H20" s="179"/>
      <c r="I20" s="147"/>
      <c r="J20" s="147"/>
      <c r="K20" s="147"/>
      <c r="L20" s="147"/>
      <c r="M20" s="147"/>
      <c r="N20" s="14"/>
      <c r="O20" s="14"/>
      <c r="P20" s="18"/>
      <c r="Q20" s="18"/>
      <c r="R20" s="18"/>
      <c r="S20" s="18"/>
      <c r="T20" s="18"/>
    </row>
    <row r="21" spans="1:20" x14ac:dyDescent="0.2">
      <c r="A21" s="35">
        <v>21</v>
      </c>
      <c r="B21" s="149" t="s">
        <v>33</v>
      </c>
      <c r="C21" s="147" t="s">
        <v>58</v>
      </c>
      <c r="D21" s="164"/>
      <c r="E21" s="35">
        <v>0.17</v>
      </c>
      <c r="F21" s="19"/>
      <c r="G21" s="19"/>
      <c r="H21" s="183"/>
      <c r="I21" s="35"/>
      <c r="J21" s="35"/>
      <c r="K21" s="35"/>
      <c r="L21" s="147"/>
      <c r="M21" s="147"/>
      <c r="N21" s="14"/>
      <c r="O21" s="14"/>
      <c r="P21" s="18"/>
      <c r="Q21" s="18"/>
      <c r="R21" s="18"/>
      <c r="S21" s="18"/>
      <c r="T21" s="18"/>
    </row>
    <row r="22" spans="1:20" x14ac:dyDescent="0.2">
      <c r="A22" s="147">
        <v>17</v>
      </c>
      <c r="B22" s="149" t="s">
        <v>34</v>
      </c>
      <c r="C22" s="147" t="s">
        <v>58</v>
      </c>
      <c r="D22" s="164"/>
      <c r="E22" s="147">
        <v>0.15</v>
      </c>
      <c r="F22" s="14"/>
      <c r="G22" s="14"/>
      <c r="H22" s="179"/>
      <c r="I22" s="147"/>
      <c r="J22" s="147"/>
      <c r="K22" s="147"/>
      <c r="L22" s="147"/>
      <c r="M22" s="147"/>
      <c r="N22" s="14"/>
      <c r="O22" s="14"/>
      <c r="P22" s="18"/>
      <c r="Q22" s="27"/>
      <c r="R22" s="27"/>
      <c r="S22" s="74"/>
      <c r="T22" s="27"/>
    </row>
    <row r="23" spans="1:20" x14ac:dyDescent="0.2">
      <c r="A23" s="144"/>
      <c r="B23" s="158" t="s">
        <v>35</v>
      </c>
      <c r="C23" s="144"/>
      <c r="D23" s="172"/>
      <c r="E23" s="144"/>
      <c r="F23" s="16"/>
      <c r="G23" s="16"/>
      <c r="H23" s="184"/>
      <c r="I23" s="144"/>
      <c r="J23" s="144"/>
      <c r="K23" s="144"/>
      <c r="L23" s="145"/>
      <c r="M23" s="145"/>
      <c r="N23" s="12"/>
      <c r="O23" s="12"/>
      <c r="P23" s="28"/>
      <c r="Q23" s="28"/>
      <c r="R23" s="28"/>
      <c r="S23" s="28"/>
      <c r="T23" s="72"/>
    </row>
    <row r="24" spans="1:20" x14ac:dyDescent="0.2">
      <c r="A24" s="147">
        <v>18</v>
      </c>
      <c r="B24" s="159" t="s">
        <v>38</v>
      </c>
      <c r="C24" s="147" t="s">
        <v>58</v>
      </c>
      <c r="D24" s="164"/>
      <c r="E24" s="147">
        <v>0.25</v>
      </c>
      <c r="F24" s="14"/>
      <c r="G24" s="14"/>
      <c r="H24" s="179"/>
      <c r="I24" s="147"/>
      <c r="J24" s="147"/>
      <c r="K24" s="147"/>
      <c r="L24" s="147"/>
      <c r="M24" s="147"/>
      <c r="N24" s="14"/>
      <c r="O24" s="14"/>
      <c r="P24" s="18"/>
      <c r="Q24" s="29"/>
      <c r="R24" s="29"/>
      <c r="S24" s="29"/>
      <c r="T24" s="29"/>
    </row>
    <row r="25" spans="1:20" x14ac:dyDescent="0.2">
      <c r="A25" s="144"/>
      <c r="B25" s="160" t="s">
        <v>39</v>
      </c>
      <c r="C25" s="144"/>
      <c r="D25" s="172"/>
      <c r="E25" s="144"/>
      <c r="F25" s="16"/>
      <c r="G25" s="16"/>
      <c r="H25" s="184"/>
      <c r="I25" s="144"/>
      <c r="J25" s="144"/>
      <c r="K25" s="144"/>
      <c r="L25" s="144"/>
      <c r="M25" s="144"/>
      <c r="N25" s="16"/>
      <c r="O25" s="16"/>
      <c r="P25" s="28"/>
      <c r="Q25" s="72"/>
      <c r="R25" s="28"/>
      <c r="S25" s="28"/>
      <c r="T25" s="72"/>
    </row>
    <row r="26" spans="1:20" ht="22.5" x14ac:dyDescent="0.2">
      <c r="A26" s="147">
        <v>19</v>
      </c>
      <c r="B26" s="159" t="s">
        <v>59</v>
      </c>
      <c r="C26" s="147" t="s">
        <v>62</v>
      </c>
      <c r="D26" s="164"/>
      <c r="E26" s="157" t="s">
        <v>60</v>
      </c>
      <c r="F26" s="154">
        <v>2</v>
      </c>
      <c r="G26" s="154"/>
      <c r="H26" s="185"/>
      <c r="I26" s="157"/>
      <c r="J26" s="157"/>
      <c r="K26" s="199"/>
      <c r="L26" s="199"/>
      <c r="M26" s="199"/>
      <c r="N26" s="88"/>
      <c r="O26" s="88"/>
      <c r="P26" s="18"/>
      <c r="Q26" s="62"/>
      <c r="R26" s="62"/>
      <c r="S26" s="62"/>
      <c r="T26" s="62"/>
    </row>
    <row r="27" spans="1:20" x14ac:dyDescent="0.2">
      <c r="A27" s="147">
        <v>20</v>
      </c>
      <c r="B27" s="159" t="s">
        <v>40</v>
      </c>
      <c r="C27" s="348" t="s">
        <v>61</v>
      </c>
      <c r="D27" s="173"/>
      <c r="E27" s="344" t="s">
        <v>63</v>
      </c>
      <c r="F27" s="349">
        <v>2</v>
      </c>
      <c r="G27" s="154"/>
      <c r="H27" s="186"/>
      <c r="I27" s="146"/>
      <c r="J27" s="146"/>
      <c r="K27" s="198"/>
      <c r="L27" s="198"/>
      <c r="M27" s="198"/>
      <c r="N27" s="365"/>
      <c r="O27" s="88"/>
      <c r="P27" s="366"/>
      <c r="Q27" s="366"/>
      <c r="R27" s="366"/>
      <c r="S27" s="366"/>
      <c r="T27" s="366"/>
    </row>
    <row r="28" spans="1:20" x14ac:dyDescent="0.2">
      <c r="A28" s="144"/>
      <c r="B28" s="160" t="s">
        <v>41</v>
      </c>
      <c r="C28" s="345"/>
      <c r="D28" s="174"/>
      <c r="E28" s="345"/>
      <c r="F28" s="347"/>
      <c r="G28" s="151"/>
      <c r="H28" s="187"/>
      <c r="I28" s="156"/>
      <c r="J28" s="156"/>
      <c r="K28" s="99"/>
      <c r="L28" s="99"/>
      <c r="M28" s="99"/>
      <c r="N28" s="365"/>
      <c r="O28" s="88"/>
      <c r="P28" s="365"/>
      <c r="Q28" s="365"/>
      <c r="R28" s="365"/>
      <c r="S28" s="365"/>
      <c r="T28" s="365"/>
    </row>
    <row r="29" spans="1:20" x14ac:dyDescent="0.2">
      <c r="A29" s="147">
        <v>21</v>
      </c>
      <c r="B29" s="159" t="s">
        <v>42</v>
      </c>
      <c r="C29" s="348" t="s">
        <v>58</v>
      </c>
      <c r="D29" s="173"/>
      <c r="E29" s="348">
        <v>0.2</v>
      </c>
      <c r="F29" s="349">
        <v>2</v>
      </c>
      <c r="G29" s="154"/>
      <c r="H29" s="188"/>
      <c r="I29" s="155"/>
      <c r="J29" s="155"/>
      <c r="K29" s="99"/>
      <c r="L29" s="99"/>
      <c r="M29" s="99"/>
      <c r="N29" s="365"/>
      <c r="O29" s="88"/>
      <c r="P29" s="366"/>
      <c r="Q29" s="366"/>
      <c r="R29" s="366"/>
      <c r="S29" s="366"/>
      <c r="T29" s="366"/>
    </row>
    <row r="30" spans="1:20" x14ac:dyDescent="0.2">
      <c r="A30" s="144"/>
      <c r="B30" s="160" t="s">
        <v>43</v>
      </c>
      <c r="C30" s="345"/>
      <c r="D30" s="174"/>
      <c r="E30" s="345"/>
      <c r="F30" s="347"/>
      <c r="G30" s="151"/>
      <c r="H30" s="187"/>
      <c r="I30" s="156"/>
      <c r="J30" s="156"/>
      <c r="K30" s="99"/>
      <c r="L30" s="99"/>
      <c r="M30" s="99"/>
      <c r="N30" s="365"/>
      <c r="O30" s="88"/>
      <c r="P30" s="365"/>
      <c r="Q30" s="365"/>
      <c r="R30" s="365"/>
      <c r="S30" s="365"/>
      <c r="T30" s="365"/>
    </row>
    <row r="31" spans="1:20" x14ac:dyDescent="0.2">
      <c r="A31" s="147">
        <v>22</v>
      </c>
      <c r="B31" s="159" t="s">
        <v>44</v>
      </c>
      <c r="C31" s="348" t="s">
        <v>64</v>
      </c>
      <c r="D31" s="173"/>
      <c r="E31" s="344" t="s">
        <v>65</v>
      </c>
      <c r="F31" s="349">
        <v>2</v>
      </c>
      <c r="G31" s="154"/>
      <c r="H31" s="186"/>
      <c r="I31" s="146"/>
      <c r="J31" s="146"/>
      <c r="K31" s="198"/>
      <c r="L31" s="198"/>
      <c r="M31" s="198"/>
      <c r="N31" s="365"/>
      <c r="O31" s="88"/>
      <c r="P31" s="366"/>
      <c r="Q31" s="366"/>
      <c r="R31" s="366"/>
      <c r="S31" s="366"/>
      <c r="T31" s="366"/>
    </row>
    <row r="32" spans="1:20" x14ac:dyDescent="0.2">
      <c r="A32" s="144"/>
      <c r="B32" s="160" t="s">
        <v>45</v>
      </c>
      <c r="C32" s="345"/>
      <c r="D32" s="174"/>
      <c r="E32" s="350"/>
      <c r="F32" s="347"/>
      <c r="G32" s="151"/>
      <c r="H32" s="189"/>
      <c r="I32" s="153"/>
      <c r="J32" s="153"/>
      <c r="K32" s="198"/>
      <c r="L32" s="198"/>
      <c r="M32" s="198"/>
      <c r="N32" s="365"/>
      <c r="O32" s="88"/>
      <c r="P32" s="365"/>
      <c r="Q32" s="365"/>
      <c r="R32" s="365"/>
      <c r="S32" s="365"/>
      <c r="T32" s="365"/>
    </row>
    <row r="33" spans="1:20" s="54" customFormat="1" x14ac:dyDescent="0.2">
      <c r="A33" s="49"/>
      <c r="B33" s="194" t="s">
        <v>265</v>
      </c>
      <c r="C33" s="50"/>
      <c r="D33" s="164"/>
      <c r="E33" s="49"/>
      <c r="F33" s="51"/>
      <c r="G33" s="51"/>
      <c r="H33" s="183"/>
      <c r="I33" s="49"/>
      <c r="J33" s="49"/>
      <c r="K33" s="49"/>
      <c r="L33" s="49"/>
      <c r="M33" s="49"/>
      <c r="N33" s="51"/>
      <c r="O33" s="51"/>
      <c r="P33" s="18"/>
      <c r="Q33" s="18"/>
      <c r="R33" s="18"/>
      <c r="S33" s="18"/>
      <c r="T33" s="18"/>
    </row>
    <row r="34" spans="1:20" x14ac:dyDescent="0.2">
      <c r="A34" s="144"/>
      <c r="B34" s="152" t="s">
        <v>68</v>
      </c>
      <c r="C34" s="43"/>
      <c r="D34" s="175"/>
      <c r="E34" s="144"/>
      <c r="F34" s="144"/>
      <c r="G34" s="144"/>
      <c r="H34" s="184"/>
      <c r="I34" s="144"/>
      <c r="J34" s="144"/>
      <c r="K34" s="35"/>
      <c r="L34" s="35"/>
      <c r="M34" s="35"/>
      <c r="N34" s="35"/>
      <c r="O34" s="35"/>
      <c r="P34" s="18"/>
      <c r="Q34" s="17"/>
      <c r="R34" s="18"/>
      <c r="S34" s="18"/>
      <c r="T34" s="28"/>
    </row>
    <row r="35" spans="1:20" x14ac:dyDescent="0.2">
      <c r="A35" s="144"/>
      <c r="B35" s="195" t="s">
        <v>266</v>
      </c>
      <c r="C35" s="43"/>
      <c r="D35" s="175"/>
      <c r="E35" s="144"/>
      <c r="F35" s="145"/>
      <c r="G35" s="145"/>
      <c r="H35" s="190"/>
      <c r="I35" s="145"/>
      <c r="J35" s="145"/>
      <c r="K35" s="35"/>
      <c r="L35" s="35"/>
      <c r="M35" s="35"/>
      <c r="N35" s="35"/>
      <c r="O35" s="35"/>
      <c r="P35" s="18"/>
      <c r="Q35" s="17"/>
      <c r="R35" s="18"/>
      <c r="S35" s="18"/>
      <c r="T35" s="28"/>
    </row>
    <row r="36" spans="1:20" x14ac:dyDescent="0.2">
      <c r="A36" s="144"/>
      <c r="B36" s="152" t="s">
        <v>49</v>
      </c>
      <c r="C36" s="144" t="s">
        <v>103</v>
      </c>
      <c r="D36" s="172"/>
      <c r="E36" s="144">
        <v>83</v>
      </c>
      <c r="F36" s="145"/>
      <c r="G36" s="145"/>
      <c r="H36" s="190"/>
      <c r="I36" s="145"/>
      <c r="J36" s="145"/>
      <c r="K36" s="35"/>
      <c r="L36" s="35"/>
      <c r="M36" s="35"/>
      <c r="N36" s="35"/>
      <c r="O36" s="35"/>
      <c r="P36" s="18"/>
      <c r="Q36" s="17"/>
      <c r="R36" s="18"/>
      <c r="S36" s="18"/>
      <c r="T36" s="18"/>
    </row>
    <row r="37" spans="1:20" x14ac:dyDescent="0.2">
      <c r="A37" s="144"/>
      <c r="B37" s="161" t="s">
        <v>50</v>
      </c>
      <c r="C37" s="144" t="s">
        <v>51</v>
      </c>
      <c r="D37" s="172"/>
      <c r="E37" s="144">
        <v>2</v>
      </c>
      <c r="F37" s="145"/>
      <c r="G37" s="145"/>
      <c r="H37" s="190"/>
      <c r="I37" s="145"/>
      <c r="J37" s="145"/>
      <c r="K37" s="35"/>
      <c r="L37" s="35"/>
      <c r="M37" s="35"/>
      <c r="N37" s="35"/>
      <c r="O37" s="35"/>
      <c r="P37" s="18"/>
      <c r="Q37" s="17"/>
      <c r="R37" s="18"/>
      <c r="S37" s="18"/>
      <c r="T37" s="28"/>
    </row>
    <row r="38" spans="1:20" x14ac:dyDescent="0.2">
      <c r="A38" s="144"/>
      <c r="B38" s="162" t="s">
        <v>267</v>
      </c>
      <c r="C38" s="37"/>
      <c r="D38" s="176"/>
      <c r="E38" s="37"/>
      <c r="F38" s="45"/>
      <c r="G38" s="37"/>
      <c r="H38" s="191"/>
      <c r="I38" s="37"/>
      <c r="J38" s="37"/>
      <c r="K38" s="45"/>
      <c r="L38" s="45"/>
      <c r="M38" s="45"/>
      <c r="N38" s="57"/>
      <c r="O38" s="57"/>
      <c r="P38" s="18"/>
      <c r="Q38" s="17"/>
      <c r="R38" s="18"/>
      <c r="S38" s="18"/>
      <c r="T38" s="33"/>
    </row>
    <row r="39" spans="1:20" x14ac:dyDescent="0.2">
      <c r="A39" s="150"/>
      <c r="B39" s="163"/>
      <c r="C39" s="141"/>
      <c r="D39" s="177"/>
      <c r="E39" s="141"/>
      <c r="F39" s="141"/>
      <c r="G39" s="141"/>
      <c r="H39" s="192"/>
      <c r="I39" s="141"/>
      <c r="J39" s="141"/>
      <c r="K39" s="141"/>
      <c r="L39" s="141"/>
      <c r="M39" s="141"/>
      <c r="N39" s="68"/>
      <c r="O39" s="68"/>
    </row>
  </sheetData>
  <mergeCells count="28">
    <mergeCell ref="S31:S32"/>
    <mergeCell ref="T31:T32"/>
    <mergeCell ref="R29:R30"/>
    <mergeCell ref="S29:S30"/>
    <mergeCell ref="T29:T30"/>
    <mergeCell ref="Q31:Q32"/>
    <mergeCell ref="R31:R32"/>
    <mergeCell ref="C29:C30"/>
    <mergeCell ref="E29:E30"/>
    <mergeCell ref="F29:F30"/>
    <mergeCell ref="N29:N30"/>
    <mergeCell ref="P29:P30"/>
    <mergeCell ref="Q29:Q30"/>
    <mergeCell ref="C31:C32"/>
    <mergeCell ref="E31:E32"/>
    <mergeCell ref="F31:F32"/>
    <mergeCell ref="N31:N32"/>
    <mergeCell ref="P31:P32"/>
    <mergeCell ref="A3:T3"/>
    <mergeCell ref="C27:C28"/>
    <mergeCell ref="E27:E28"/>
    <mergeCell ref="F27:F28"/>
    <mergeCell ref="N27:N28"/>
    <mergeCell ref="P27:P28"/>
    <mergeCell ref="Q27:Q28"/>
    <mergeCell ref="R27:R28"/>
    <mergeCell ref="S27:S28"/>
    <mergeCell ref="T27:T2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1"/>
  <sheetViews>
    <sheetView tabSelected="1" workbookViewId="0">
      <selection activeCell="A13" sqref="A13:J13"/>
    </sheetView>
  </sheetViews>
  <sheetFormatPr defaultRowHeight="12.75" x14ac:dyDescent="0.2"/>
  <cols>
    <col min="1" max="1" width="4" style="225" customWidth="1"/>
    <col min="2" max="2" width="31.85546875" style="213" customWidth="1"/>
    <col min="3" max="3" width="6.140625" style="225" customWidth="1"/>
    <col min="4" max="4" width="7.140625" style="225" customWidth="1"/>
    <col min="5" max="5" width="12.140625" style="225" customWidth="1"/>
    <col min="6" max="6" width="8.42578125" style="225" customWidth="1"/>
    <col min="7" max="7" width="8.5703125" style="212" customWidth="1"/>
    <col min="8" max="8" width="11.28515625" style="229" customWidth="1"/>
    <col min="9" max="9" width="12.28515625" style="229" customWidth="1"/>
    <col min="10" max="10" width="15" style="229" customWidth="1"/>
    <col min="11" max="16384" width="9.140625" style="212"/>
  </cols>
  <sheetData>
    <row r="1" spans="1:12" x14ac:dyDescent="0.2">
      <c r="H1" s="376" t="s">
        <v>329</v>
      </c>
      <c r="I1" s="377"/>
      <c r="J1" s="377"/>
    </row>
    <row r="2" spans="1:12" x14ac:dyDescent="0.2">
      <c r="H2" s="376" t="s">
        <v>330</v>
      </c>
      <c r="I2" s="377"/>
      <c r="J2" s="377"/>
    </row>
    <row r="3" spans="1:12" x14ac:dyDescent="0.2">
      <c r="I3" s="375"/>
      <c r="J3" s="375"/>
    </row>
    <row r="4" spans="1:12" x14ac:dyDescent="0.2">
      <c r="H4" s="245" t="s">
        <v>316</v>
      </c>
    </row>
    <row r="5" spans="1:12" x14ac:dyDescent="0.2">
      <c r="H5" s="246" t="s">
        <v>328</v>
      </c>
    </row>
    <row r="6" spans="1:12" x14ac:dyDescent="0.2">
      <c r="H6" s="246" t="s">
        <v>317</v>
      </c>
    </row>
    <row r="7" spans="1:12" x14ac:dyDescent="0.2">
      <c r="H7" s="246" t="s">
        <v>318</v>
      </c>
    </row>
    <row r="8" spans="1:12" x14ac:dyDescent="0.2">
      <c r="H8" s="246" t="s">
        <v>319</v>
      </c>
    </row>
    <row r="9" spans="1:12" x14ac:dyDescent="0.2">
      <c r="H9" s="247" t="s">
        <v>320</v>
      </c>
    </row>
    <row r="10" spans="1:12" x14ac:dyDescent="0.2">
      <c r="A10" s="212"/>
      <c r="C10" s="212"/>
      <c r="D10" s="212"/>
      <c r="E10" s="212"/>
      <c r="F10" s="212"/>
    </row>
    <row r="11" spans="1:12" x14ac:dyDescent="0.2">
      <c r="A11" s="212"/>
      <c r="C11" s="212"/>
      <c r="D11" s="212"/>
      <c r="E11" s="212"/>
      <c r="F11" s="212"/>
    </row>
    <row r="12" spans="1:12" ht="15.75" x14ac:dyDescent="0.25">
      <c r="A12" s="369" t="s">
        <v>297</v>
      </c>
      <c r="B12" s="370"/>
      <c r="C12" s="370"/>
      <c r="D12" s="370"/>
      <c r="E12" s="370"/>
      <c r="F12" s="370"/>
      <c r="G12" s="370"/>
      <c r="H12" s="370"/>
      <c r="I12" s="370"/>
      <c r="J12" s="370"/>
      <c r="K12" s="235"/>
      <c r="L12" s="235"/>
    </row>
    <row r="13" spans="1:12" ht="15" x14ac:dyDescent="0.25">
      <c r="A13" s="371" t="s">
        <v>298</v>
      </c>
      <c r="B13" s="372"/>
      <c r="C13" s="372"/>
      <c r="D13" s="372"/>
      <c r="E13" s="372"/>
      <c r="F13" s="372"/>
      <c r="G13" s="372"/>
      <c r="H13" s="372"/>
      <c r="I13" s="372"/>
      <c r="J13" s="372"/>
      <c r="K13" s="235"/>
      <c r="L13" s="235"/>
    </row>
    <row r="14" spans="1:12" x14ac:dyDescent="0.2">
      <c r="A14" s="214"/>
      <c r="B14" s="215"/>
      <c r="C14" s="235"/>
      <c r="D14" s="235"/>
      <c r="E14" s="235"/>
      <c r="F14" s="235"/>
      <c r="G14" s="235"/>
      <c r="H14" s="230"/>
      <c r="I14" s="230"/>
      <c r="J14" s="230"/>
      <c r="K14" s="235"/>
      <c r="L14" s="235"/>
    </row>
    <row r="15" spans="1:12" ht="76.5" x14ac:dyDescent="0.2">
      <c r="A15" s="216" t="s">
        <v>325</v>
      </c>
      <c r="B15" s="240" t="s">
        <v>246</v>
      </c>
      <c r="C15" s="240" t="s">
        <v>151</v>
      </c>
      <c r="D15" s="240" t="s">
        <v>249</v>
      </c>
      <c r="E15" s="240" t="s">
        <v>302</v>
      </c>
      <c r="F15" s="240" t="s">
        <v>300</v>
      </c>
      <c r="G15" s="240" t="s">
        <v>251</v>
      </c>
      <c r="H15" s="241" t="s">
        <v>294</v>
      </c>
      <c r="I15" s="241" t="s">
        <v>295</v>
      </c>
      <c r="J15" s="241" t="s">
        <v>324</v>
      </c>
    </row>
    <row r="16" spans="1:12" x14ac:dyDescent="0.2">
      <c r="A16" s="234">
        <v>1</v>
      </c>
      <c r="B16" s="234">
        <v>2</v>
      </c>
      <c r="C16" s="234">
        <v>3</v>
      </c>
      <c r="D16" s="234">
        <v>4</v>
      </c>
      <c r="E16" s="234">
        <v>5</v>
      </c>
      <c r="F16" s="234">
        <v>6</v>
      </c>
      <c r="G16" s="234">
        <v>7</v>
      </c>
      <c r="H16" s="234">
        <v>8</v>
      </c>
      <c r="I16" s="234">
        <v>9</v>
      </c>
      <c r="J16" s="234">
        <v>10</v>
      </c>
    </row>
    <row r="17" spans="1:14" ht="30" customHeight="1" x14ac:dyDescent="0.2">
      <c r="A17" s="217">
        <v>1</v>
      </c>
      <c r="B17" s="218" t="s">
        <v>303</v>
      </c>
      <c r="C17" s="217" t="s">
        <v>159</v>
      </c>
      <c r="D17" s="237">
        <v>1</v>
      </c>
      <c r="E17" s="237">
        <v>12.47</v>
      </c>
      <c r="F17" s="237">
        <v>20</v>
      </c>
      <c r="G17" s="237">
        <v>3</v>
      </c>
      <c r="H17" s="231">
        <f>E17*F17/100*G17</f>
        <v>7.4820000000000011</v>
      </c>
      <c r="I17" s="231">
        <f>H17/12</f>
        <v>0.62350000000000005</v>
      </c>
      <c r="J17" s="231">
        <f>H17/365</f>
        <v>2.0498630136986305E-2</v>
      </c>
      <c r="K17" s="219"/>
    </row>
    <row r="18" spans="1:14" ht="25.5" x14ac:dyDescent="0.2">
      <c r="A18" s="217">
        <v>2</v>
      </c>
      <c r="B18" s="218" t="s">
        <v>304</v>
      </c>
      <c r="C18" s="217" t="s">
        <v>159</v>
      </c>
      <c r="D18" s="237">
        <v>1</v>
      </c>
      <c r="E18" s="237">
        <v>137.11000000000001</v>
      </c>
      <c r="F18" s="237">
        <v>100</v>
      </c>
      <c r="G18" s="237">
        <v>3</v>
      </c>
      <c r="H18" s="231">
        <f>E18*F18/100*G18</f>
        <v>411.33000000000004</v>
      </c>
      <c r="I18" s="231">
        <f t="shared" ref="I18:I25" si="0">H18/12</f>
        <v>34.277500000000003</v>
      </c>
      <c r="J18" s="231">
        <f t="shared" ref="J18:J26" si="1">H18/365</f>
        <v>1.1269315068493151</v>
      </c>
      <c r="K18" s="219"/>
    </row>
    <row r="19" spans="1:14" ht="25.5" x14ac:dyDescent="0.2">
      <c r="A19" s="217">
        <v>3</v>
      </c>
      <c r="B19" s="218" t="s">
        <v>305</v>
      </c>
      <c r="C19" s="217" t="s">
        <v>159</v>
      </c>
      <c r="D19" s="237">
        <v>1</v>
      </c>
      <c r="E19" s="237">
        <v>132.07</v>
      </c>
      <c r="F19" s="237">
        <v>10</v>
      </c>
      <c r="G19" s="238">
        <v>1</v>
      </c>
      <c r="H19" s="231">
        <f t="shared" ref="H19:H20" si="2">E19*F19/100*G19</f>
        <v>13.206999999999999</v>
      </c>
      <c r="I19" s="231">
        <f t="shared" si="0"/>
        <v>1.1005833333333332</v>
      </c>
      <c r="J19" s="231">
        <f t="shared" si="1"/>
        <v>3.6183561643835613E-2</v>
      </c>
    </row>
    <row r="20" spans="1:14" ht="30.75" customHeight="1" x14ac:dyDescent="0.2">
      <c r="A20" s="217">
        <v>4</v>
      </c>
      <c r="B20" s="218" t="s">
        <v>306</v>
      </c>
      <c r="C20" s="217" t="s">
        <v>159</v>
      </c>
      <c r="D20" s="237">
        <v>1</v>
      </c>
      <c r="E20" s="237">
        <v>126.21</v>
      </c>
      <c r="F20" s="237">
        <v>50</v>
      </c>
      <c r="G20" s="238">
        <v>1</v>
      </c>
      <c r="H20" s="231">
        <f t="shared" si="2"/>
        <v>63.104999999999997</v>
      </c>
      <c r="I20" s="231">
        <f t="shared" si="0"/>
        <v>5.25875</v>
      </c>
      <c r="J20" s="231">
        <f t="shared" si="1"/>
        <v>0.17289041095890409</v>
      </c>
    </row>
    <row r="21" spans="1:14" ht="22.5" customHeight="1" x14ac:dyDescent="0.2">
      <c r="A21" s="217">
        <v>5</v>
      </c>
      <c r="B21" s="218" t="s">
        <v>307</v>
      </c>
      <c r="C21" s="217" t="s">
        <v>159</v>
      </c>
      <c r="D21" s="237">
        <v>1</v>
      </c>
      <c r="E21" s="237">
        <v>967.94</v>
      </c>
      <c r="F21" s="237">
        <v>90</v>
      </c>
      <c r="G21" s="239" t="s">
        <v>301</v>
      </c>
      <c r="H21" s="231">
        <f>E21*1/7*80/100</f>
        <v>110.62171428571429</v>
      </c>
      <c r="I21" s="231">
        <f t="shared" si="0"/>
        <v>9.2184761904761903</v>
      </c>
      <c r="J21" s="231">
        <f t="shared" si="1"/>
        <v>0.30307318982387477</v>
      </c>
      <c r="K21" s="219"/>
    </row>
    <row r="22" spans="1:14" ht="18" customHeight="1" x14ac:dyDescent="0.2">
      <c r="A22" s="217">
        <v>6</v>
      </c>
      <c r="B22" s="218" t="s">
        <v>308</v>
      </c>
      <c r="C22" s="217" t="s">
        <v>159</v>
      </c>
      <c r="D22" s="237">
        <v>1</v>
      </c>
      <c r="E22" s="237">
        <v>2594.75</v>
      </c>
      <c r="F22" s="237">
        <v>45</v>
      </c>
      <c r="G22" s="239" t="s">
        <v>301</v>
      </c>
      <c r="H22" s="231">
        <f>E22*1/7*45/100</f>
        <v>166.80535714285713</v>
      </c>
      <c r="I22" s="231">
        <f>H22/12</f>
        <v>13.900446428571428</v>
      </c>
      <c r="J22" s="231">
        <f>H22/365</f>
        <v>0.45700097847358118</v>
      </c>
      <c r="K22" s="220"/>
      <c r="N22" s="236"/>
    </row>
    <row r="23" spans="1:14" ht="22.5" customHeight="1" x14ac:dyDescent="0.2">
      <c r="A23" s="217">
        <v>7</v>
      </c>
      <c r="B23" s="218" t="s">
        <v>309</v>
      </c>
      <c r="C23" s="217" t="s">
        <v>159</v>
      </c>
      <c r="D23" s="237">
        <v>1</v>
      </c>
      <c r="E23" s="237">
        <v>402.67</v>
      </c>
      <c r="F23" s="237">
        <v>8</v>
      </c>
      <c r="G23" s="237">
        <v>1</v>
      </c>
      <c r="H23" s="231">
        <f t="shared" ref="H23" si="3">E23*F23/100*G23</f>
        <v>32.2136</v>
      </c>
      <c r="I23" s="231">
        <f t="shared" si="0"/>
        <v>2.6844666666666668</v>
      </c>
      <c r="J23" s="231">
        <f t="shared" si="1"/>
        <v>8.8256438356164382E-2</v>
      </c>
    </row>
    <row r="24" spans="1:14" ht="44.25" customHeight="1" x14ac:dyDescent="0.2">
      <c r="A24" s="217">
        <v>8</v>
      </c>
      <c r="B24" s="218" t="s">
        <v>310</v>
      </c>
      <c r="C24" s="217" t="s">
        <v>159</v>
      </c>
      <c r="D24" s="237">
        <v>1</v>
      </c>
      <c r="E24" s="237">
        <v>357.01</v>
      </c>
      <c r="F24" s="237">
        <v>10</v>
      </c>
      <c r="G24" s="237">
        <v>1</v>
      </c>
      <c r="H24" s="231">
        <f>E24*F24/100*G24</f>
        <v>35.701000000000001</v>
      </c>
      <c r="I24" s="231">
        <f t="shared" si="0"/>
        <v>2.9750833333333335</v>
      </c>
      <c r="J24" s="231">
        <f t="shared" si="1"/>
        <v>9.7810958904109596E-2</v>
      </c>
    </row>
    <row r="25" spans="1:14" ht="45.75" customHeight="1" x14ac:dyDescent="0.2">
      <c r="A25" s="217">
        <v>9</v>
      </c>
      <c r="B25" s="218" t="s">
        <v>311</v>
      </c>
      <c r="C25" s="217" t="s">
        <v>159</v>
      </c>
      <c r="D25" s="237">
        <v>1</v>
      </c>
      <c r="E25" s="237">
        <v>629.54999999999995</v>
      </c>
      <c r="F25" s="237">
        <v>10</v>
      </c>
      <c r="G25" s="237">
        <v>1</v>
      </c>
      <c r="H25" s="231">
        <f t="shared" ref="H25" si="4">E25*F25/100*G25</f>
        <v>62.954999999999998</v>
      </c>
      <c r="I25" s="231">
        <f t="shared" si="0"/>
        <v>5.2462499999999999</v>
      </c>
      <c r="J25" s="231">
        <f t="shared" si="1"/>
        <v>0.17247945205479451</v>
      </c>
    </row>
    <row r="26" spans="1:14" ht="21.75" customHeight="1" x14ac:dyDescent="0.2">
      <c r="A26" s="217">
        <v>10</v>
      </c>
      <c r="B26" s="218" t="s">
        <v>299</v>
      </c>
      <c r="C26" s="217" t="s">
        <v>180</v>
      </c>
      <c r="D26" s="237">
        <v>0.03</v>
      </c>
      <c r="E26" s="237">
        <v>7.13</v>
      </c>
      <c r="F26" s="237">
        <v>100</v>
      </c>
      <c r="G26" s="237">
        <v>1</v>
      </c>
      <c r="H26" s="231">
        <f>E26*F26/100*G26</f>
        <v>7.13</v>
      </c>
      <c r="I26" s="231">
        <f>H26/12</f>
        <v>0.59416666666666662</v>
      </c>
      <c r="J26" s="250">
        <f t="shared" si="1"/>
        <v>1.9534246575342466E-2</v>
      </c>
    </row>
    <row r="27" spans="1:14" s="228" customFormat="1" ht="18.75" customHeight="1" x14ac:dyDescent="0.2">
      <c r="A27" s="217">
        <v>11</v>
      </c>
      <c r="B27" s="221" t="s">
        <v>321</v>
      </c>
      <c r="C27" s="226"/>
      <c r="D27" s="226"/>
      <c r="E27" s="226"/>
      <c r="F27" s="226"/>
      <c r="G27" s="226"/>
      <c r="H27" s="232">
        <f>SUM(H17:H26)</f>
        <v>910.5506714285716</v>
      </c>
      <c r="I27" s="232">
        <f>SUM(I17:I26)</f>
        <v>75.879222619047624</v>
      </c>
      <c r="J27" s="232">
        <f>SUM(J17:J26)</f>
        <v>2.4946593737769081</v>
      </c>
    </row>
    <row r="28" spans="1:14" s="256" customFormat="1" ht="77.25" customHeight="1" x14ac:dyDescent="0.2">
      <c r="A28" s="254">
        <v>12</v>
      </c>
      <c r="B28" s="253" t="s">
        <v>323</v>
      </c>
      <c r="C28" s="254" t="s">
        <v>322</v>
      </c>
      <c r="D28" s="252">
        <v>2</v>
      </c>
      <c r="E28" s="252"/>
      <c r="F28" s="252"/>
      <c r="G28" s="252"/>
      <c r="H28" s="255">
        <f>H27*2/100</f>
        <v>18.211013428571434</v>
      </c>
      <c r="I28" s="255">
        <f>I27*2/100</f>
        <v>1.5175844523809525</v>
      </c>
      <c r="J28" s="255">
        <f>J27*2/100</f>
        <v>4.9893187475538163E-2</v>
      </c>
    </row>
    <row r="29" spans="1:14" s="228" customFormat="1" ht="18" customHeight="1" x14ac:dyDescent="0.2">
      <c r="A29" s="217">
        <v>13</v>
      </c>
      <c r="B29" s="251" t="s">
        <v>327</v>
      </c>
      <c r="C29" s="226"/>
      <c r="D29" s="226"/>
      <c r="E29" s="226"/>
      <c r="F29" s="226"/>
      <c r="G29" s="226"/>
      <c r="H29" s="232">
        <f>H28+H27</f>
        <v>928.761684857143</v>
      </c>
      <c r="I29" s="232">
        <f>I28+I27</f>
        <v>77.396807071428583</v>
      </c>
      <c r="J29" s="232">
        <f>J28+J27</f>
        <v>2.5445525612524462</v>
      </c>
    </row>
    <row r="30" spans="1:14" s="228" customFormat="1" ht="18.75" customHeight="1" x14ac:dyDescent="0.2">
      <c r="A30" s="217">
        <v>14</v>
      </c>
      <c r="B30" s="227" t="s">
        <v>296</v>
      </c>
      <c r="C30" s="226"/>
      <c r="D30" s="226"/>
      <c r="E30" s="226"/>
      <c r="F30" s="226"/>
      <c r="G30" s="226"/>
      <c r="H30" s="232">
        <f>H29*0.18</f>
        <v>167.17710327428574</v>
      </c>
      <c r="I30" s="232">
        <f>I29*0.18</f>
        <v>13.931425272857144</v>
      </c>
      <c r="J30" s="232">
        <f>J29*0.18</f>
        <v>0.45801946102544028</v>
      </c>
    </row>
    <row r="31" spans="1:14" s="261" customFormat="1" ht="28.5" customHeight="1" x14ac:dyDescent="0.2">
      <c r="A31" s="254">
        <v>15</v>
      </c>
      <c r="B31" s="257" t="s">
        <v>326</v>
      </c>
      <c r="C31" s="258"/>
      <c r="D31" s="258"/>
      <c r="E31" s="258"/>
      <c r="F31" s="258"/>
      <c r="G31" s="259"/>
      <c r="H31" s="260">
        <f>H30+H29</f>
        <v>1095.9387881314287</v>
      </c>
      <c r="I31" s="260">
        <f>I30+I29</f>
        <v>91.328232344285723</v>
      </c>
      <c r="J31" s="260">
        <f>J30+J29</f>
        <v>3.0025720222778864</v>
      </c>
    </row>
    <row r="32" spans="1:14" ht="31.5" customHeight="1" x14ac:dyDescent="0.2">
      <c r="A32" s="222"/>
      <c r="B32" s="248"/>
      <c r="C32" s="224"/>
      <c r="D32" s="224"/>
      <c r="E32" s="224"/>
      <c r="F32" s="224"/>
      <c r="G32" s="214"/>
      <c r="H32" s="233"/>
      <c r="I32" s="233"/>
      <c r="J32" s="233"/>
    </row>
    <row r="33" spans="1:10" x14ac:dyDescent="0.2">
      <c r="A33" s="222"/>
      <c r="B33" s="223"/>
      <c r="C33" s="224"/>
      <c r="D33" s="224"/>
      <c r="E33" s="224"/>
      <c r="F33" s="224"/>
      <c r="G33" s="214"/>
      <c r="H33" s="233"/>
      <c r="I33" s="233"/>
      <c r="J33" s="233"/>
    </row>
    <row r="35" spans="1:10" x14ac:dyDescent="0.2">
      <c r="A35" s="373" t="s">
        <v>312</v>
      </c>
      <c r="B35" s="374"/>
      <c r="C35" s="242"/>
      <c r="D35" s="242"/>
      <c r="E35" s="242"/>
      <c r="F35" s="242"/>
      <c r="G35" s="242"/>
      <c r="H35" s="242"/>
    </row>
    <row r="36" spans="1:10" x14ac:dyDescent="0.2">
      <c r="A36" s="243" t="s">
        <v>313</v>
      </c>
      <c r="B36" s="249"/>
      <c r="C36" s="249"/>
      <c r="D36" s="249"/>
      <c r="E36" s="244"/>
      <c r="F36" s="244"/>
      <c r="G36" s="244"/>
      <c r="H36" s="244"/>
    </row>
    <row r="37" spans="1:10" x14ac:dyDescent="0.2">
      <c r="A37" s="367" t="s">
        <v>314</v>
      </c>
      <c r="B37" s="368"/>
      <c r="C37" s="368"/>
      <c r="D37" s="368"/>
      <c r="E37" s="368"/>
      <c r="F37" s="368"/>
      <c r="G37" s="368"/>
      <c r="H37" s="368"/>
    </row>
    <row r="39" spans="1:10" x14ac:dyDescent="0.2">
      <c r="A39" s="373" t="s">
        <v>315</v>
      </c>
      <c r="B39" s="374"/>
      <c r="C39" s="242"/>
      <c r="D39" s="242"/>
      <c r="E39" s="242"/>
      <c r="F39" s="242"/>
      <c r="G39" s="242"/>
      <c r="H39" s="242"/>
    </row>
    <row r="40" spans="1:10" x14ac:dyDescent="0.2">
      <c r="A40" s="243" t="s">
        <v>313</v>
      </c>
      <c r="B40" s="249"/>
      <c r="C40" s="249"/>
      <c r="D40" s="249"/>
      <c r="E40" s="244"/>
      <c r="F40" s="244"/>
      <c r="G40" s="244"/>
      <c r="H40" s="244"/>
    </row>
    <row r="41" spans="1:10" x14ac:dyDescent="0.2">
      <c r="A41" s="367" t="s">
        <v>314</v>
      </c>
      <c r="B41" s="368"/>
      <c r="C41" s="368"/>
      <c r="D41" s="368"/>
      <c r="E41" s="368"/>
      <c r="F41" s="368"/>
      <c r="G41" s="368"/>
      <c r="H41" s="368"/>
    </row>
  </sheetData>
  <mergeCells count="8">
    <mergeCell ref="H1:J1"/>
    <mergeCell ref="H2:J2"/>
    <mergeCell ref="A41:H41"/>
    <mergeCell ref="A12:J12"/>
    <mergeCell ref="A13:J13"/>
    <mergeCell ref="A35:B35"/>
    <mergeCell ref="A37:H37"/>
    <mergeCell ref="A39:B39"/>
  </mergeCells>
  <pageMargins left="0.51181102362204722" right="7.874015748031496E-2" top="0.35433070866141736" bottom="0.35433070866141736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61"/>
  <sheetViews>
    <sheetView topLeftCell="A16" workbookViewId="0">
      <selection activeCell="M11" sqref="M11"/>
    </sheetView>
  </sheetViews>
  <sheetFormatPr defaultRowHeight="12.75" x14ac:dyDescent="0.2"/>
  <cols>
    <col min="1" max="1" width="5" style="34" customWidth="1"/>
    <col min="3" max="3" width="19.140625" customWidth="1"/>
    <col min="4" max="4" width="7.7109375" style="34" customWidth="1"/>
    <col min="5" max="5" width="8.5703125" style="34" customWidth="1"/>
    <col min="6" max="6" width="7.5703125" style="120" customWidth="1"/>
    <col min="7" max="7" width="8" style="34" customWidth="1"/>
    <col min="8" max="8" width="8.140625" customWidth="1"/>
    <col min="9" max="9" width="8.28515625" customWidth="1"/>
    <col min="12" max="12" width="7.42578125" style="93" customWidth="1"/>
  </cols>
  <sheetData>
    <row r="1" spans="1:12" x14ac:dyDescent="0.2">
      <c r="A1"/>
      <c r="D1"/>
      <c r="E1"/>
      <c r="F1" s="87"/>
      <c r="H1" t="s">
        <v>202</v>
      </c>
    </row>
    <row r="2" spans="1:12" x14ac:dyDescent="0.2">
      <c r="A2"/>
      <c r="D2"/>
      <c r="E2"/>
      <c r="F2" s="87"/>
    </row>
    <row r="3" spans="1:12" x14ac:dyDescent="0.2">
      <c r="A3"/>
      <c r="D3"/>
      <c r="E3"/>
      <c r="F3" s="87"/>
    </row>
    <row r="4" spans="1:12" x14ac:dyDescent="0.2">
      <c r="A4" s="272" t="s">
        <v>212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</row>
    <row r="5" spans="1:12" x14ac:dyDescent="0.2">
      <c r="A5" s="55"/>
      <c r="B5" s="58"/>
      <c r="C5" s="58"/>
      <c r="D5" s="58"/>
      <c r="E5" s="58"/>
      <c r="F5" s="111"/>
      <c r="G5" s="58"/>
      <c r="H5" s="58"/>
      <c r="I5" s="58"/>
      <c r="J5" s="58"/>
    </row>
    <row r="6" spans="1:12" ht="12.75" customHeight="1" x14ac:dyDescent="0.2">
      <c r="A6" s="274" t="s">
        <v>52</v>
      </c>
      <c r="B6" s="275" t="s">
        <v>0</v>
      </c>
      <c r="C6" s="266"/>
      <c r="D6" s="274" t="s">
        <v>53</v>
      </c>
      <c r="E6" s="274" t="s">
        <v>189</v>
      </c>
      <c r="F6" s="274" t="s">
        <v>213</v>
      </c>
      <c r="G6" s="279" t="s">
        <v>55</v>
      </c>
      <c r="H6" s="274" t="s">
        <v>56</v>
      </c>
      <c r="I6" s="1" t="s">
        <v>1</v>
      </c>
      <c r="J6" s="1" t="s">
        <v>3</v>
      </c>
      <c r="K6" s="1" t="s">
        <v>6</v>
      </c>
      <c r="L6" s="123" t="s">
        <v>8</v>
      </c>
    </row>
    <row r="7" spans="1:12" ht="12.75" customHeight="1" x14ac:dyDescent="0.2">
      <c r="A7" s="263"/>
      <c r="B7" s="276"/>
      <c r="C7" s="271"/>
      <c r="D7" s="263"/>
      <c r="E7" s="263"/>
      <c r="F7" s="302"/>
      <c r="G7" s="263"/>
      <c r="H7" s="263"/>
      <c r="I7" s="2" t="s">
        <v>2</v>
      </c>
      <c r="J7" s="2" t="s">
        <v>4</v>
      </c>
      <c r="K7" s="2" t="s">
        <v>7</v>
      </c>
      <c r="L7" s="124" t="s">
        <v>2</v>
      </c>
    </row>
    <row r="8" spans="1:12" ht="24.75" customHeight="1" x14ac:dyDescent="0.2">
      <c r="A8" s="263"/>
      <c r="B8" s="276"/>
      <c r="C8" s="271"/>
      <c r="D8" s="263"/>
      <c r="E8" s="263"/>
      <c r="F8" s="302"/>
      <c r="G8" s="263"/>
      <c r="H8" s="263"/>
      <c r="I8" s="83"/>
      <c r="J8" s="4">
        <v>1.06</v>
      </c>
      <c r="K8" s="4">
        <v>0.7</v>
      </c>
      <c r="L8" s="125"/>
    </row>
    <row r="9" spans="1:12" ht="0.75" hidden="1" customHeight="1" x14ac:dyDescent="0.2">
      <c r="A9" s="264"/>
      <c r="B9" s="277"/>
      <c r="C9" s="278"/>
      <c r="D9" s="264"/>
      <c r="E9" s="264"/>
      <c r="F9" s="64"/>
      <c r="G9" s="264"/>
      <c r="H9" s="264"/>
      <c r="I9" s="7">
        <v>0.15</v>
      </c>
      <c r="J9" s="3" t="s">
        <v>5</v>
      </c>
      <c r="K9" s="3" t="s">
        <v>5</v>
      </c>
      <c r="L9" s="126"/>
    </row>
    <row r="10" spans="1:12" s="63" customFormat="1" ht="54" customHeight="1" x14ac:dyDescent="0.2">
      <c r="A10" s="47">
        <v>1</v>
      </c>
      <c r="B10" s="286" t="s">
        <v>268</v>
      </c>
      <c r="C10" s="284"/>
      <c r="D10" s="47" t="s">
        <v>58</v>
      </c>
      <c r="E10" s="47">
        <v>1.95</v>
      </c>
      <c r="F10" s="112" t="s">
        <v>203</v>
      </c>
      <c r="G10" s="47">
        <v>1</v>
      </c>
      <c r="H10" s="46">
        <f t="shared" ref="H10:H18" si="0">51*E10*G10</f>
        <v>99.45</v>
      </c>
      <c r="I10" s="62">
        <f t="shared" ref="I10:I17" si="1">58.88*H10</f>
        <v>5855.616</v>
      </c>
      <c r="J10" s="62">
        <f t="shared" ref="J10:J17" si="2">I10*1.06</f>
        <v>6206.9529600000005</v>
      </c>
      <c r="K10" s="62">
        <f t="shared" ref="K10:K18" si="3">I10*0.7</f>
        <v>4098.9312</v>
      </c>
      <c r="L10" s="127">
        <f t="shared" ref="L10:L18" si="4">K10+J10+I10</f>
        <v>16161.500160000001</v>
      </c>
    </row>
    <row r="11" spans="1:12" s="63" customFormat="1" ht="71.25" customHeight="1" x14ac:dyDescent="0.2">
      <c r="A11" s="47">
        <v>2</v>
      </c>
      <c r="B11" s="286" t="s">
        <v>219</v>
      </c>
      <c r="C11" s="287"/>
      <c r="D11" s="47" t="s">
        <v>58</v>
      </c>
      <c r="E11" s="47">
        <v>0.4</v>
      </c>
      <c r="F11" s="112" t="s">
        <v>203</v>
      </c>
      <c r="G11" s="47">
        <v>2</v>
      </c>
      <c r="H11" s="46">
        <f t="shared" si="0"/>
        <v>40.800000000000004</v>
      </c>
      <c r="I11" s="62">
        <f t="shared" si="1"/>
        <v>2402.3040000000005</v>
      </c>
      <c r="J11" s="62">
        <f t="shared" si="2"/>
        <v>2546.4422400000008</v>
      </c>
      <c r="K11" s="62">
        <f t="shared" si="3"/>
        <v>1681.6128000000003</v>
      </c>
      <c r="L11" s="127">
        <f t="shared" si="4"/>
        <v>6630.3590400000012</v>
      </c>
    </row>
    <row r="12" spans="1:12" s="63" customFormat="1" ht="53.25" customHeight="1" x14ac:dyDescent="0.2">
      <c r="A12" s="47">
        <v>3</v>
      </c>
      <c r="B12" s="286" t="s">
        <v>204</v>
      </c>
      <c r="C12" s="288"/>
      <c r="D12" s="47" t="s">
        <v>58</v>
      </c>
      <c r="E12" s="47">
        <v>0.15</v>
      </c>
      <c r="F12" s="112" t="s">
        <v>203</v>
      </c>
      <c r="G12" s="47">
        <v>2</v>
      </c>
      <c r="H12" s="46">
        <f t="shared" si="0"/>
        <v>15.299999999999999</v>
      </c>
      <c r="I12" s="62">
        <f t="shared" si="1"/>
        <v>900.86400000000003</v>
      </c>
      <c r="J12" s="62">
        <f t="shared" si="2"/>
        <v>954.91584000000012</v>
      </c>
      <c r="K12" s="62">
        <f t="shared" si="3"/>
        <v>630.60479999999995</v>
      </c>
      <c r="L12" s="127">
        <f t="shared" si="4"/>
        <v>2486.3846400000002</v>
      </c>
    </row>
    <row r="13" spans="1:12" s="63" customFormat="1" ht="50.25" customHeight="1" x14ac:dyDescent="0.2">
      <c r="A13" s="47">
        <v>4</v>
      </c>
      <c r="B13" s="286" t="s">
        <v>205</v>
      </c>
      <c r="C13" s="288"/>
      <c r="D13" s="47" t="s">
        <v>58</v>
      </c>
      <c r="E13" s="47">
        <v>0.7</v>
      </c>
      <c r="F13" s="112" t="s">
        <v>203</v>
      </c>
      <c r="G13" s="47">
        <v>2</v>
      </c>
      <c r="H13" s="46">
        <f t="shared" si="0"/>
        <v>71.399999999999991</v>
      </c>
      <c r="I13" s="62">
        <f t="shared" si="1"/>
        <v>4204.0319999999992</v>
      </c>
      <c r="J13" s="62">
        <f t="shared" si="2"/>
        <v>4456.2739199999996</v>
      </c>
      <c r="K13" s="62">
        <f t="shared" si="3"/>
        <v>2942.8223999999991</v>
      </c>
      <c r="L13" s="127">
        <f t="shared" si="4"/>
        <v>11603.128319999998</v>
      </c>
    </row>
    <row r="14" spans="1:12" s="63" customFormat="1" ht="33" customHeight="1" x14ac:dyDescent="0.2">
      <c r="A14" s="47">
        <v>5</v>
      </c>
      <c r="B14" s="286" t="s">
        <v>206</v>
      </c>
      <c r="C14" s="287"/>
      <c r="D14" s="47" t="s">
        <v>58</v>
      </c>
      <c r="E14" s="47">
        <v>0.15</v>
      </c>
      <c r="F14" s="112" t="s">
        <v>203</v>
      </c>
      <c r="G14" s="47">
        <v>2</v>
      </c>
      <c r="H14" s="46">
        <f t="shared" si="0"/>
        <v>15.299999999999999</v>
      </c>
      <c r="I14" s="62">
        <f t="shared" si="1"/>
        <v>900.86400000000003</v>
      </c>
      <c r="J14" s="62">
        <f t="shared" si="2"/>
        <v>954.91584000000012</v>
      </c>
      <c r="K14" s="62">
        <f t="shared" si="3"/>
        <v>630.60479999999995</v>
      </c>
      <c r="L14" s="127">
        <f t="shared" si="4"/>
        <v>2486.3846400000002</v>
      </c>
    </row>
    <row r="15" spans="1:12" s="63" customFormat="1" ht="36" customHeight="1" x14ac:dyDescent="0.2">
      <c r="A15" s="47">
        <v>6</v>
      </c>
      <c r="B15" s="286" t="s">
        <v>207</v>
      </c>
      <c r="C15" s="287"/>
      <c r="D15" s="47" t="s">
        <v>58</v>
      </c>
      <c r="E15" s="47">
        <v>0.1</v>
      </c>
      <c r="F15" s="112" t="s">
        <v>208</v>
      </c>
      <c r="G15" s="47">
        <v>2</v>
      </c>
      <c r="H15" s="46">
        <f t="shared" si="0"/>
        <v>10.200000000000001</v>
      </c>
      <c r="I15" s="62">
        <f t="shared" si="1"/>
        <v>600.57600000000014</v>
      </c>
      <c r="J15" s="62">
        <f t="shared" si="2"/>
        <v>636.61056000000019</v>
      </c>
      <c r="K15" s="62">
        <f t="shared" si="3"/>
        <v>420.40320000000008</v>
      </c>
      <c r="L15" s="127">
        <f t="shared" si="4"/>
        <v>1657.5897600000003</v>
      </c>
    </row>
    <row r="16" spans="1:12" s="63" customFormat="1" ht="53.25" customHeight="1" x14ac:dyDescent="0.2">
      <c r="A16" s="47">
        <v>7</v>
      </c>
      <c r="B16" s="286" t="s">
        <v>209</v>
      </c>
      <c r="C16" s="287"/>
      <c r="D16" s="47" t="s">
        <v>58</v>
      </c>
      <c r="E16" s="47">
        <v>0.15</v>
      </c>
      <c r="F16" s="112" t="s">
        <v>208</v>
      </c>
      <c r="G16" s="47">
        <v>2</v>
      </c>
      <c r="H16" s="46">
        <f t="shared" si="0"/>
        <v>15.299999999999999</v>
      </c>
      <c r="I16" s="62">
        <f t="shared" si="1"/>
        <v>900.86400000000003</v>
      </c>
      <c r="J16" s="62">
        <f t="shared" si="2"/>
        <v>954.91584000000012</v>
      </c>
      <c r="K16" s="62">
        <f t="shared" si="3"/>
        <v>630.60479999999995</v>
      </c>
      <c r="L16" s="127">
        <f t="shared" si="4"/>
        <v>2486.3846400000002</v>
      </c>
    </row>
    <row r="17" spans="1:14" s="63" customFormat="1" ht="78.75" customHeight="1" x14ac:dyDescent="0.2">
      <c r="A17" s="47">
        <v>8</v>
      </c>
      <c r="B17" s="286" t="s">
        <v>210</v>
      </c>
      <c r="C17" s="287"/>
      <c r="D17" s="47" t="s">
        <v>58</v>
      </c>
      <c r="E17" s="47">
        <v>0.3</v>
      </c>
      <c r="F17" s="112" t="s">
        <v>211</v>
      </c>
      <c r="G17" s="47">
        <v>2</v>
      </c>
      <c r="H17" s="46">
        <f t="shared" si="0"/>
        <v>30.599999999999998</v>
      </c>
      <c r="I17" s="62">
        <f t="shared" si="1"/>
        <v>1801.7280000000001</v>
      </c>
      <c r="J17" s="62">
        <f t="shared" si="2"/>
        <v>1909.8316800000002</v>
      </c>
      <c r="K17" s="62">
        <f t="shared" si="3"/>
        <v>1261.2095999999999</v>
      </c>
      <c r="L17" s="127">
        <f t="shared" si="4"/>
        <v>4972.7692800000004</v>
      </c>
    </row>
    <row r="18" spans="1:14" s="63" customFormat="1" ht="25.5" customHeight="1" x14ac:dyDescent="0.2">
      <c r="A18" s="47">
        <v>9</v>
      </c>
      <c r="B18" s="286" t="s">
        <v>101</v>
      </c>
      <c r="C18" s="287"/>
      <c r="D18" s="47" t="s">
        <v>58</v>
      </c>
      <c r="E18" s="47">
        <v>0.25</v>
      </c>
      <c r="F18" s="47">
        <v>2</v>
      </c>
      <c r="G18" s="46">
        <f>E18*F18</f>
        <v>0.5</v>
      </c>
      <c r="H18" s="46">
        <f t="shared" si="0"/>
        <v>6.375</v>
      </c>
      <c r="I18" s="62">
        <f>H18*1.06</f>
        <v>6.7575000000000003</v>
      </c>
      <c r="J18" s="62">
        <f>H18*0.7</f>
        <v>4.4624999999999995</v>
      </c>
      <c r="K18" s="62">
        <f t="shared" si="3"/>
        <v>4.7302499999999998</v>
      </c>
      <c r="L18" s="127">
        <f t="shared" si="4"/>
        <v>15.95025</v>
      </c>
    </row>
    <row r="19" spans="1:14" x14ac:dyDescent="0.2">
      <c r="A19" s="21"/>
      <c r="B19" s="289" t="s">
        <v>141</v>
      </c>
      <c r="C19" s="284"/>
      <c r="D19" s="22"/>
      <c r="E19" s="21"/>
      <c r="F19" s="114"/>
      <c r="G19" s="21"/>
      <c r="H19" s="22">
        <f>SUM(H10:H18)</f>
        <v>304.72500000000002</v>
      </c>
      <c r="I19" s="78">
        <f>SUM(I10:I18)</f>
        <v>17573.605499999998</v>
      </c>
      <c r="J19" s="23">
        <f>SUM(J10:J18)</f>
        <v>18625.321380000001</v>
      </c>
      <c r="K19" s="23">
        <f>SUM(K10:K18)</f>
        <v>12301.52385</v>
      </c>
      <c r="L19" s="128">
        <f>SUM(L10:L18)</f>
        <v>48500.450730000011</v>
      </c>
      <c r="M19" s="71"/>
    </row>
    <row r="20" spans="1:14" x14ac:dyDescent="0.2">
      <c r="A20" s="262"/>
      <c r="B20" s="265" t="s">
        <v>46</v>
      </c>
      <c r="C20" s="266"/>
      <c r="D20" s="262"/>
      <c r="E20" s="262"/>
      <c r="F20" s="113"/>
      <c r="G20" s="262"/>
      <c r="H20" s="137">
        <f>H19*1.15</f>
        <v>350.43374999999997</v>
      </c>
      <c r="I20" s="137">
        <f>H20*58.88</f>
        <v>20633.539199999999</v>
      </c>
      <c r="J20" s="137">
        <f>I20*1.06</f>
        <v>21871.551552000001</v>
      </c>
      <c r="K20" s="137">
        <f>I20*0.7</f>
        <v>14443.477439999999</v>
      </c>
      <c r="L20" s="129">
        <f>K20+J20+I20</f>
        <v>56948.568191999999</v>
      </c>
      <c r="M20" s="71"/>
      <c r="N20">
        <f>H20/8</f>
        <v>43.804218749999997</v>
      </c>
    </row>
    <row r="21" spans="1:14" x14ac:dyDescent="0.2">
      <c r="A21" s="263"/>
      <c r="B21" s="270" t="s">
        <v>47</v>
      </c>
      <c r="C21" s="271"/>
      <c r="D21" s="263"/>
      <c r="E21" s="263"/>
      <c r="F21" s="115"/>
      <c r="G21" s="263"/>
      <c r="H21" s="15"/>
      <c r="I21" s="29"/>
      <c r="J21" s="29"/>
      <c r="K21" s="29"/>
      <c r="L21" s="130"/>
    </row>
    <row r="22" spans="1:14" x14ac:dyDescent="0.2">
      <c r="A22" s="264"/>
      <c r="B22" s="282" t="s">
        <v>48</v>
      </c>
      <c r="C22" s="278"/>
      <c r="D22" s="264"/>
      <c r="E22" s="264"/>
      <c r="F22" s="116"/>
      <c r="G22" s="264"/>
      <c r="H22" s="16"/>
      <c r="I22" s="28"/>
      <c r="J22" s="28"/>
      <c r="K22" s="28"/>
      <c r="L22" s="131"/>
    </row>
    <row r="23" spans="1:14" ht="24.75" customHeight="1" x14ac:dyDescent="0.2">
      <c r="A23" s="20"/>
      <c r="B23" s="283" t="s">
        <v>220</v>
      </c>
      <c r="C23" s="284"/>
      <c r="D23" s="43"/>
      <c r="E23" s="20"/>
      <c r="F23" s="116"/>
      <c r="G23" s="20"/>
      <c r="H23" s="20"/>
      <c r="I23" s="40"/>
      <c r="J23" s="41"/>
      <c r="K23" s="13"/>
      <c r="L23" s="131">
        <f>L20*3/100</f>
        <v>1708.4570457599998</v>
      </c>
    </row>
    <row r="24" spans="1:14" ht="25.5" customHeight="1" x14ac:dyDescent="0.2">
      <c r="A24" s="20"/>
      <c r="B24" s="283" t="s">
        <v>185</v>
      </c>
      <c r="C24" s="284"/>
      <c r="D24" s="43"/>
      <c r="E24" s="20"/>
      <c r="F24" s="116"/>
      <c r="G24" s="20"/>
      <c r="H24" s="20"/>
      <c r="I24" s="40"/>
      <c r="J24" s="41"/>
      <c r="K24" s="13"/>
      <c r="L24" s="131">
        <f>L23*0.14</f>
        <v>239.18398640639998</v>
      </c>
    </row>
    <row r="25" spans="1:14" x14ac:dyDescent="0.2">
      <c r="A25" s="20"/>
      <c r="B25" s="293" t="s">
        <v>49</v>
      </c>
      <c r="C25" s="284"/>
      <c r="D25" s="20" t="s">
        <v>121</v>
      </c>
      <c r="E25" s="20"/>
      <c r="F25" s="116"/>
      <c r="G25" s="20"/>
      <c r="H25" s="35">
        <v>36</v>
      </c>
      <c r="I25" s="294" t="s">
        <v>215</v>
      </c>
      <c r="J25" s="295"/>
      <c r="K25" s="284"/>
      <c r="L25" s="132">
        <f>36*350</f>
        <v>12600</v>
      </c>
    </row>
    <row r="26" spans="1:14" x14ac:dyDescent="0.2">
      <c r="A26" s="20"/>
      <c r="B26" s="293" t="s">
        <v>50</v>
      </c>
      <c r="C26" s="284"/>
      <c r="D26" s="20" t="s">
        <v>51</v>
      </c>
      <c r="E26" s="20"/>
      <c r="F26" s="116"/>
      <c r="G26" s="20"/>
      <c r="H26" s="20">
        <v>2</v>
      </c>
      <c r="I26" s="294" t="s">
        <v>122</v>
      </c>
      <c r="J26" s="295"/>
      <c r="K26" s="284"/>
      <c r="L26" s="131">
        <f>200/50*2*380</f>
        <v>3040</v>
      </c>
    </row>
    <row r="27" spans="1:14" x14ac:dyDescent="0.2">
      <c r="A27" s="20"/>
      <c r="B27" s="290" t="s">
        <v>214</v>
      </c>
      <c r="C27" s="284"/>
      <c r="D27" s="37"/>
      <c r="E27" s="37"/>
      <c r="F27" s="117"/>
      <c r="G27" s="37"/>
      <c r="H27" s="57"/>
      <c r="I27" s="33"/>
      <c r="J27" s="33"/>
      <c r="K27" s="33"/>
      <c r="L27" s="133">
        <f>L26+L25+L24+L23+L20</f>
        <v>74536.209224166407</v>
      </c>
    </row>
    <row r="28" spans="1:14" x14ac:dyDescent="0.2">
      <c r="A28" s="58"/>
      <c r="B28" s="67"/>
      <c r="C28" s="67"/>
      <c r="D28" s="55"/>
      <c r="E28" s="55"/>
      <c r="F28" s="118"/>
      <c r="G28" s="55"/>
      <c r="H28" s="68"/>
      <c r="I28" s="84"/>
      <c r="J28" s="84"/>
      <c r="K28" s="84"/>
      <c r="L28" s="134"/>
    </row>
    <row r="29" spans="1:14" x14ac:dyDescent="0.2">
      <c r="A29" s="300" t="s">
        <v>74</v>
      </c>
      <c r="B29" s="301"/>
      <c r="C29" s="301"/>
      <c r="D29" s="301"/>
      <c r="E29" s="301"/>
      <c r="F29" s="301"/>
      <c r="G29" s="301"/>
      <c r="H29" s="301"/>
      <c r="I29" s="84"/>
      <c r="J29" s="84"/>
      <c r="K29" s="84"/>
      <c r="L29" s="134"/>
    </row>
    <row r="30" spans="1:14" x14ac:dyDescent="0.2">
      <c r="A30" s="65"/>
      <c r="B30" s="66"/>
      <c r="C30" s="66"/>
      <c r="D30" s="66"/>
      <c r="E30" s="66"/>
      <c r="F30" s="119"/>
      <c r="G30" s="55"/>
      <c r="H30" s="55"/>
      <c r="I30" s="84"/>
      <c r="J30" s="84"/>
      <c r="K30" s="84"/>
      <c r="L30" s="134"/>
    </row>
    <row r="31" spans="1:14" x14ac:dyDescent="0.2">
      <c r="A31" s="65"/>
      <c r="B31" s="66"/>
      <c r="C31" s="66"/>
      <c r="D31" s="66"/>
      <c r="E31" s="66"/>
      <c r="F31" s="119"/>
      <c r="G31" s="55"/>
      <c r="H31" s="55"/>
      <c r="I31" s="84"/>
      <c r="J31" s="84"/>
      <c r="K31" s="84"/>
      <c r="L31" s="134"/>
    </row>
    <row r="32" spans="1:14" x14ac:dyDescent="0.2">
      <c r="A32" s="65"/>
      <c r="B32" s="66"/>
      <c r="C32" s="66"/>
      <c r="D32" s="66"/>
      <c r="E32" s="66"/>
      <c r="F32" s="119"/>
      <c r="G32" s="55"/>
      <c r="H32" s="55"/>
      <c r="I32" s="84"/>
      <c r="J32" s="84"/>
      <c r="K32" s="84"/>
      <c r="L32" s="134"/>
    </row>
    <row r="33" spans="1:12" x14ac:dyDescent="0.2">
      <c r="A33" s="65"/>
      <c r="B33" s="66"/>
      <c r="C33" s="66"/>
      <c r="D33" s="66"/>
      <c r="E33" s="66"/>
      <c r="F33" s="119"/>
      <c r="G33" s="55"/>
      <c r="H33" s="55"/>
      <c r="I33" s="84"/>
      <c r="J33" s="84"/>
      <c r="K33" s="84"/>
      <c r="L33" s="134"/>
    </row>
    <row r="34" spans="1:12" x14ac:dyDescent="0.2">
      <c r="G34"/>
      <c r="I34" s="84"/>
      <c r="J34" s="84"/>
      <c r="K34" s="84"/>
      <c r="L34" s="134"/>
    </row>
    <row r="35" spans="1:12" x14ac:dyDescent="0.2">
      <c r="A35" t="s">
        <v>75</v>
      </c>
      <c r="D35"/>
      <c r="E35"/>
      <c r="F35" s="87"/>
      <c r="G35" t="s">
        <v>76</v>
      </c>
      <c r="I35" s="84"/>
      <c r="J35" s="84"/>
      <c r="K35" s="84"/>
      <c r="L35" s="134"/>
    </row>
    <row r="36" spans="1:12" x14ac:dyDescent="0.2">
      <c r="A36" t="s">
        <v>77</v>
      </c>
      <c r="D36"/>
      <c r="E36"/>
      <c r="F36" s="87"/>
      <c r="G36" t="s">
        <v>79</v>
      </c>
      <c r="I36" s="84"/>
      <c r="J36" s="84"/>
      <c r="K36" s="84"/>
      <c r="L36" s="134"/>
    </row>
    <row r="37" spans="1:12" x14ac:dyDescent="0.2">
      <c r="A37" t="s">
        <v>78</v>
      </c>
      <c r="D37"/>
      <c r="E37"/>
      <c r="F37" s="87"/>
      <c r="G37" t="s">
        <v>80</v>
      </c>
      <c r="I37" s="84"/>
      <c r="J37" s="84"/>
      <c r="K37" s="84"/>
      <c r="L37" s="134"/>
    </row>
    <row r="38" spans="1:12" x14ac:dyDescent="0.2">
      <c r="A38" t="s">
        <v>82</v>
      </c>
      <c r="D38"/>
      <c r="E38"/>
      <c r="F38" s="87"/>
      <c r="G38" t="s">
        <v>81</v>
      </c>
      <c r="I38" s="84"/>
      <c r="J38" s="84"/>
      <c r="K38" s="84"/>
      <c r="L38" s="134"/>
    </row>
    <row r="39" spans="1:12" x14ac:dyDescent="0.2">
      <c r="G39"/>
      <c r="I39" s="84"/>
      <c r="J39" s="84"/>
      <c r="K39" s="84"/>
      <c r="L39" s="134"/>
    </row>
    <row r="40" spans="1:12" x14ac:dyDescent="0.2">
      <c r="I40" s="84"/>
      <c r="J40" s="84"/>
      <c r="K40" s="84"/>
      <c r="L40" s="134"/>
    </row>
    <row r="41" spans="1:12" x14ac:dyDescent="0.2">
      <c r="I41" s="84"/>
      <c r="J41" s="84"/>
      <c r="K41" s="84"/>
      <c r="L41" s="134"/>
    </row>
    <row r="42" spans="1:12" x14ac:dyDescent="0.2">
      <c r="I42" s="84"/>
      <c r="J42" s="84"/>
      <c r="K42" s="84"/>
      <c r="L42" s="134"/>
    </row>
    <row r="43" spans="1:12" x14ac:dyDescent="0.2">
      <c r="I43" s="84"/>
      <c r="J43" s="84"/>
      <c r="K43" s="84"/>
      <c r="L43" s="134"/>
    </row>
    <row r="44" spans="1:12" x14ac:dyDescent="0.2">
      <c r="I44" s="84"/>
      <c r="J44" s="84"/>
      <c r="K44" s="84"/>
      <c r="L44" s="134"/>
    </row>
    <row r="45" spans="1:12" x14ac:dyDescent="0.2">
      <c r="I45" s="84"/>
      <c r="J45" s="85"/>
      <c r="K45" s="85"/>
      <c r="L45" s="122"/>
    </row>
    <row r="46" spans="1:12" x14ac:dyDescent="0.2">
      <c r="I46" s="299"/>
      <c r="J46" s="299"/>
      <c r="K46" s="299"/>
      <c r="L46" s="297"/>
    </row>
    <row r="47" spans="1:12" x14ac:dyDescent="0.2">
      <c r="I47" s="273"/>
      <c r="J47" s="273"/>
      <c r="K47" s="273"/>
      <c r="L47" s="298"/>
    </row>
    <row r="48" spans="1:12" x14ac:dyDescent="0.2">
      <c r="I48" s="299"/>
      <c r="J48" s="299"/>
      <c r="K48" s="299"/>
      <c r="L48" s="297"/>
    </row>
    <row r="49" spans="9:12" x14ac:dyDescent="0.2">
      <c r="I49" s="273"/>
      <c r="J49" s="273"/>
      <c r="K49" s="273"/>
      <c r="L49" s="298"/>
    </row>
    <row r="50" spans="9:12" x14ac:dyDescent="0.2">
      <c r="I50" s="299"/>
      <c r="J50" s="299"/>
      <c r="K50" s="299"/>
      <c r="L50" s="297"/>
    </row>
    <row r="51" spans="9:12" x14ac:dyDescent="0.2">
      <c r="I51" s="273"/>
      <c r="J51" s="273"/>
      <c r="K51" s="273"/>
      <c r="L51" s="298"/>
    </row>
    <row r="52" spans="9:12" x14ac:dyDescent="0.2">
      <c r="I52" s="84"/>
      <c r="J52" s="84"/>
      <c r="K52" s="84"/>
      <c r="L52" s="134"/>
    </row>
    <row r="53" spans="9:12" x14ac:dyDescent="0.2">
      <c r="I53" s="84"/>
      <c r="J53" s="84"/>
      <c r="K53" s="84"/>
      <c r="L53" s="135"/>
    </row>
    <row r="54" spans="9:12" x14ac:dyDescent="0.2">
      <c r="I54" s="86"/>
      <c r="J54" s="86"/>
      <c r="K54" s="86"/>
      <c r="L54" s="134"/>
    </row>
    <row r="55" spans="9:12" x14ac:dyDescent="0.2">
      <c r="I55" s="84"/>
      <c r="J55" s="84"/>
      <c r="K55" s="84"/>
      <c r="L55" s="134"/>
    </row>
    <row r="56" spans="9:12" x14ac:dyDescent="0.2">
      <c r="I56" s="84"/>
      <c r="J56" s="84"/>
      <c r="K56" s="84"/>
      <c r="L56" s="134"/>
    </row>
    <row r="57" spans="9:12" x14ac:dyDescent="0.2">
      <c r="I57" s="84"/>
      <c r="J57" s="84"/>
      <c r="K57" s="84"/>
      <c r="L57" s="134"/>
    </row>
    <row r="58" spans="9:12" x14ac:dyDescent="0.2">
      <c r="I58" s="84"/>
      <c r="J58" s="84"/>
      <c r="K58" s="84"/>
      <c r="L58" s="135"/>
    </row>
    <row r="59" spans="9:12" x14ac:dyDescent="0.2">
      <c r="I59" s="70"/>
      <c r="J59" s="70"/>
      <c r="K59" s="70"/>
      <c r="L59" s="136"/>
    </row>
    <row r="60" spans="9:12" x14ac:dyDescent="0.2">
      <c r="I60" s="70"/>
      <c r="J60" s="70"/>
      <c r="K60" s="70"/>
      <c r="L60" s="136"/>
    </row>
    <row r="61" spans="9:12" x14ac:dyDescent="0.2">
      <c r="I61" s="70"/>
      <c r="J61" s="70"/>
      <c r="K61" s="70"/>
      <c r="L61" s="136"/>
    </row>
  </sheetData>
  <mergeCells count="45">
    <mergeCell ref="B10:C10"/>
    <mergeCell ref="B11:C11"/>
    <mergeCell ref="B12:C12"/>
    <mergeCell ref="B13:C13"/>
    <mergeCell ref="A4:L4"/>
    <mergeCell ref="A6:A9"/>
    <mergeCell ref="B6:C9"/>
    <mergeCell ref="D6:D9"/>
    <mergeCell ref="E6:E9"/>
    <mergeCell ref="G6:G9"/>
    <mergeCell ref="H6:H9"/>
    <mergeCell ref="F6:F8"/>
    <mergeCell ref="D20:D22"/>
    <mergeCell ref="I50:I51"/>
    <mergeCell ref="J50:J51"/>
    <mergeCell ref="K50:K51"/>
    <mergeCell ref="A29:H29"/>
    <mergeCell ref="G20:G22"/>
    <mergeCell ref="B21:C21"/>
    <mergeCell ref="B27:C27"/>
    <mergeCell ref="B23:C23"/>
    <mergeCell ref="B24:C24"/>
    <mergeCell ref="B25:C25"/>
    <mergeCell ref="I25:K25"/>
    <mergeCell ref="A20:A22"/>
    <mergeCell ref="B20:C20"/>
    <mergeCell ref="I26:K26"/>
    <mergeCell ref="E20:E22"/>
    <mergeCell ref="L50:L51"/>
    <mergeCell ref="L46:L47"/>
    <mergeCell ref="I48:I49"/>
    <mergeCell ref="J48:J49"/>
    <mergeCell ref="K48:K49"/>
    <mergeCell ref="L48:L49"/>
    <mergeCell ref="I46:I47"/>
    <mergeCell ref="J46:J47"/>
    <mergeCell ref="K46:K47"/>
    <mergeCell ref="B14:C14"/>
    <mergeCell ref="B15:C15"/>
    <mergeCell ref="B16:C16"/>
    <mergeCell ref="B17:C17"/>
    <mergeCell ref="B26:C26"/>
    <mergeCell ref="B19:C19"/>
    <mergeCell ref="B22:C22"/>
    <mergeCell ref="B18:C18"/>
  </mergeCells>
  <phoneticPr fontId="3" type="noConversion"/>
  <pageMargins left="0.19685039370078741" right="0.19685039370078741" top="0.39370078740157483" bottom="0.39370078740157483" header="0" footer="0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30"/>
  <sheetViews>
    <sheetView topLeftCell="A19" workbookViewId="0">
      <selection activeCell="G19" sqref="G19"/>
    </sheetView>
  </sheetViews>
  <sheetFormatPr defaultRowHeight="12.75" x14ac:dyDescent="0.2"/>
  <cols>
    <col min="1" max="1" width="6" style="34" customWidth="1"/>
    <col min="2" max="2" width="24.28515625" style="87" customWidth="1"/>
    <col min="3" max="3" width="23.85546875" style="87" customWidth="1"/>
    <col min="4" max="4" width="9.7109375" customWidth="1"/>
    <col min="5" max="5" width="7.85546875" style="71" customWidth="1"/>
    <col min="6" max="6" width="10.42578125" style="71" customWidth="1"/>
    <col min="7" max="7" width="11.5703125" style="93" customWidth="1"/>
  </cols>
  <sheetData>
    <row r="1" spans="1:7" x14ac:dyDescent="0.2">
      <c r="A1" s="306" t="s">
        <v>184</v>
      </c>
      <c r="B1" s="306"/>
      <c r="C1" s="306"/>
      <c r="D1" s="306"/>
      <c r="E1" s="306"/>
      <c r="F1" s="306"/>
      <c r="G1" s="306"/>
    </row>
    <row r="3" spans="1:7" ht="25.5" x14ac:dyDescent="0.2">
      <c r="A3" s="99" t="s">
        <v>52</v>
      </c>
      <c r="B3" s="79" t="s">
        <v>155</v>
      </c>
      <c r="C3" s="79" t="s">
        <v>150</v>
      </c>
      <c r="D3" s="88" t="s">
        <v>151</v>
      </c>
      <c r="E3" s="62" t="s">
        <v>152</v>
      </c>
      <c r="F3" s="94" t="s">
        <v>153</v>
      </c>
      <c r="G3" s="91" t="s">
        <v>154</v>
      </c>
    </row>
    <row r="4" spans="1:7" x14ac:dyDescent="0.2">
      <c r="A4" s="262">
        <v>1</v>
      </c>
      <c r="B4" s="303" t="s">
        <v>91</v>
      </c>
      <c r="C4" s="89" t="s">
        <v>149</v>
      </c>
      <c r="D4" s="80" t="s">
        <v>156</v>
      </c>
      <c r="E4" s="90">
        <v>1.63</v>
      </c>
      <c r="F4" s="90">
        <v>1783</v>
      </c>
      <c r="G4" s="92">
        <f t="shared" ref="G4:G27" si="0">F4*E4</f>
        <v>2906.29</v>
      </c>
    </row>
    <row r="5" spans="1:7" ht="12.75" customHeight="1" x14ac:dyDescent="0.2">
      <c r="A5" s="281"/>
      <c r="B5" s="305"/>
      <c r="C5" s="89" t="s">
        <v>147</v>
      </c>
      <c r="D5" s="80" t="s">
        <v>180</v>
      </c>
      <c r="E5" s="90">
        <v>2.77</v>
      </c>
      <c r="F5" s="90">
        <v>30</v>
      </c>
      <c r="G5" s="92">
        <f t="shared" si="0"/>
        <v>83.1</v>
      </c>
    </row>
    <row r="6" spans="1:7" ht="12.75" customHeight="1" x14ac:dyDescent="0.2">
      <c r="A6" s="35">
        <v>2</v>
      </c>
      <c r="B6" s="89" t="s">
        <v>157</v>
      </c>
      <c r="C6" s="89" t="s">
        <v>158</v>
      </c>
      <c r="D6" s="80" t="s">
        <v>159</v>
      </c>
      <c r="E6" s="90">
        <v>4</v>
      </c>
      <c r="F6" s="90">
        <v>2492</v>
      </c>
      <c r="G6" s="92">
        <f t="shared" si="0"/>
        <v>9968</v>
      </c>
    </row>
    <row r="7" spans="1:7" ht="26.25" customHeight="1" x14ac:dyDescent="0.2">
      <c r="A7" s="35">
        <v>3</v>
      </c>
      <c r="B7" s="303" t="s">
        <v>186</v>
      </c>
      <c r="C7" s="89" t="s">
        <v>161</v>
      </c>
      <c r="D7" s="80" t="s">
        <v>160</v>
      </c>
      <c r="E7" s="90">
        <v>55</v>
      </c>
      <c r="F7" s="90">
        <v>17.545999999999999</v>
      </c>
      <c r="G7" s="92">
        <f t="shared" si="0"/>
        <v>965.03</v>
      </c>
    </row>
    <row r="8" spans="1:7" ht="29.25" customHeight="1" x14ac:dyDescent="0.2">
      <c r="A8" s="35">
        <v>4</v>
      </c>
      <c r="B8" s="304"/>
      <c r="C8" s="89" t="s">
        <v>162</v>
      </c>
      <c r="D8" s="80" t="s">
        <v>160</v>
      </c>
      <c r="E8" s="90">
        <f>5.8*24.7</f>
        <v>143.26</v>
      </c>
      <c r="F8" s="90">
        <v>22.5</v>
      </c>
      <c r="G8" s="92">
        <f t="shared" si="0"/>
        <v>3223.35</v>
      </c>
    </row>
    <row r="9" spans="1:7" ht="25.5" x14ac:dyDescent="0.2">
      <c r="A9" s="35">
        <v>5</v>
      </c>
      <c r="B9" s="304"/>
      <c r="C9" s="89" t="s">
        <v>163</v>
      </c>
      <c r="D9" s="80" t="s">
        <v>160</v>
      </c>
      <c r="E9" s="90">
        <v>57</v>
      </c>
      <c r="F9" s="90">
        <v>17.2</v>
      </c>
      <c r="G9" s="92">
        <f t="shared" si="0"/>
        <v>980.4</v>
      </c>
    </row>
    <row r="10" spans="1:7" ht="25.5" x14ac:dyDescent="0.2">
      <c r="A10" s="35">
        <v>6</v>
      </c>
      <c r="B10" s="302"/>
      <c r="C10" s="89" t="s">
        <v>179</v>
      </c>
      <c r="D10" s="80" t="s">
        <v>160</v>
      </c>
      <c r="E10" s="90">
        <v>91.06</v>
      </c>
      <c r="F10" s="90">
        <v>21.8</v>
      </c>
      <c r="G10" s="92">
        <f t="shared" si="0"/>
        <v>1985.1080000000002</v>
      </c>
    </row>
    <row r="11" spans="1:7" ht="25.5" x14ac:dyDescent="0.2">
      <c r="A11" s="35">
        <v>11</v>
      </c>
      <c r="B11" s="302"/>
      <c r="C11" s="89" t="s">
        <v>167</v>
      </c>
      <c r="D11" s="80" t="s">
        <v>160</v>
      </c>
      <c r="E11" s="90">
        <v>35.33</v>
      </c>
      <c r="F11" s="90">
        <v>18.5</v>
      </c>
      <c r="G11" s="92">
        <f t="shared" si="0"/>
        <v>653.60500000000002</v>
      </c>
    </row>
    <row r="12" spans="1:7" ht="25.5" x14ac:dyDescent="0.2">
      <c r="A12" s="35">
        <v>7</v>
      </c>
      <c r="B12" s="307"/>
      <c r="C12" s="89" t="s">
        <v>166</v>
      </c>
      <c r="D12" s="80" t="s">
        <v>160</v>
      </c>
      <c r="E12" s="90">
        <v>60.3</v>
      </c>
      <c r="F12" s="90">
        <v>19.3</v>
      </c>
      <c r="G12" s="92">
        <f t="shared" si="0"/>
        <v>1163.79</v>
      </c>
    </row>
    <row r="13" spans="1:7" x14ac:dyDescent="0.2">
      <c r="A13" s="35">
        <v>13</v>
      </c>
      <c r="B13" s="303" t="s">
        <v>88</v>
      </c>
      <c r="C13" s="89" t="s">
        <v>164</v>
      </c>
      <c r="D13" s="80" t="s">
        <v>160</v>
      </c>
      <c r="E13" s="90">
        <v>25</v>
      </c>
      <c r="F13" s="90">
        <v>120</v>
      </c>
      <c r="G13" s="92">
        <f t="shared" si="0"/>
        <v>3000</v>
      </c>
    </row>
    <row r="14" spans="1:7" x14ac:dyDescent="0.2">
      <c r="A14" s="35">
        <v>14</v>
      </c>
      <c r="B14" s="304"/>
      <c r="C14" s="89" t="s">
        <v>165</v>
      </c>
      <c r="D14" s="80" t="s">
        <v>160</v>
      </c>
      <c r="E14" s="90">
        <v>10</v>
      </c>
      <c r="F14" s="90">
        <v>50</v>
      </c>
      <c r="G14" s="92">
        <f t="shared" si="0"/>
        <v>500</v>
      </c>
    </row>
    <row r="15" spans="1:7" ht="38.25" x14ac:dyDescent="0.2">
      <c r="A15" s="35">
        <v>15</v>
      </c>
      <c r="B15" s="304"/>
      <c r="C15" s="89" t="s">
        <v>177</v>
      </c>
      <c r="D15" s="80" t="s">
        <v>159</v>
      </c>
      <c r="E15" s="90">
        <v>60</v>
      </c>
      <c r="F15" s="90">
        <v>14.4</v>
      </c>
      <c r="G15" s="92">
        <f t="shared" si="0"/>
        <v>864</v>
      </c>
    </row>
    <row r="16" spans="1:7" x14ac:dyDescent="0.2">
      <c r="A16" s="35">
        <v>16</v>
      </c>
      <c r="B16" s="305"/>
      <c r="C16" s="89" t="s">
        <v>178</v>
      </c>
      <c r="D16" s="80" t="s">
        <v>159</v>
      </c>
      <c r="E16" s="90">
        <v>120</v>
      </c>
      <c r="F16" s="90">
        <v>9.6</v>
      </c>
      <c r="G16" s="92">
        <f t="shared" si="0"/>
        <v>1152</v>
      </c>
    </row>
    <row r="17" spans="1:7" ht="23.25" customHeight="1" x14ac:dyDescent="0.2">
      <c r="A17" s="35">
        <v>17</v>
      </c>
      <c r="B17" s="303" t="s">
        <v>173</v>
      </c>
      <c r="C17" s="89" t="s">
        <v>174</v>
      </c>
      <c r="D17" s="80" t="s">
        <v>159</v>
      </c>
      <c r="E17" s="90">
        <v>1</v>
      </c>
      <c r="F17" s="90">
        <v>100</v>
      </c>
      <c r="G17" s="92">
        <f t="shared" si="0"/>
        <v>100</v>
      </c>
    </row>
    <row r="18" spans="1:7" ht="27" customHeight="1" x14ac:dyDescent="0.2">
      <c r="A18" s="35">
        <v>18</v>
      </c>
      <c r="B18" s="304"/>
      <c r="C18" s="89" t="s">
        <v>175</v>
      </c>
      <c r="D18" s="80" t="s">
        <v>159</v>
      </c>
      <c r="E18" s="90">
        <v>6</v>
      </c>
      <c r="F18" s="90">
        <v>40</v>
      </c>
      <c r="G18" s="92">
        <f t="shared" si="0"/>
        <v>240</v>
      </c>
    </row>
    <row r="19" spans="1:7" ht="16.5" customHeight="1" x14ac:dyDescent="0.2">
      <c r="A19" s="35">
        <v>19</v>
      </c>
      <c r="B19" s="305"/>
      <c r="C19" s="89" t="s">
        <v>176</v>
      </c>
      <c r="D19" s="80" t="s">
        <v>160</v>
      </c>
      <c r="E19" s="90">
        <v>70</v>
      </c>
      <c r="F19" s="90">
        <v>120</v>
      </c>
      <c r="G19" s="92">
        <f t="shared" si="0"/>
        <v>8400</v>
      </c>
    </row>
    <row r="20" spans="1:7" ht="12.75" customHeight="1" x14ac:dyDescent="0.2">
      <c r="A20" s="35">
        <v>20</v>
      </c>
      <c r="B20" s="89" t="s">
        <v>168</v>
      </c>
      <c r="C20" s="89" t="s">
        <v>169</v>
      </c>
      <c r="D20" s="80" t="s">
        <v>180</v>
      </c>
      <c r="E20" s="90">
        <v>9.5</v>
      </c>
      <c r="F20" s="90">
        <v>850</v>
      </c>
      <c r="G20" s="92">
        <f t="shared" si="0"/>
        <v>8075</v>
      </c>
    </row>
    <row r="21" spans="1:7" ht="12.75" customHeight="1" x14ac:dyDescent="0.2">
      <c r="A21" s="35"/>
      <c r="B21" s="89"/>
      <c r="C21" s="89" t="s">
        <v>148</v>
      </c>
      <c r="D21" s="80" t="s">
        <v>180</v>
      </c>
      <c r="E21" s="90">
        <v>4</v>
      </c>
      <c r="F21" s="90">
        <v>385</v>
      </c>
      <c r="G21" s="92">
        <f t="shared" si="0"/>
        <v>1540</v>
      </c>
    </row>
    <row r="22" spans="1:7" ht="12.75" customHeight="1" x14ac:dyDescent="0.2">
      <c r="A22" s="35">
        <v>21</v>
      </c>
      <c r="B22" s="89"/>
      <c r="C22" s="89" t="s">
        <v>170</v>
      </c>
      <c r="D22" s="80" t="s">
        <v>160</v>
      </c>
      <c r="E22" s="90">
        <v>15</v>
      </c>
      <c r="F22" s="90">
        <v>49</v>
      </c>
      <c r="G22" s="92">
        <f t="shared" si="0"/>
        <v>735</v>
      </c>
    </row>
    <row r="23" spans="1:7" x14ac:dyDescent="0.2">
      <c r="A23" s="35">
        <v>22</v>
      </c>
      <c r="B23" s="89"/>
      <c r="C23" s="89" t="s">
        <v>171</v>
      </c>
      <c r="D23" s="80" t="s">
        <v>160</v>
      </c>
      <c r="E23" s="90">
        <v>6</v>
      </c>
      <c r="F23" s="90">
        <v>115</v>
      </c>
      <c r="G23" s="92">
        <f t="shared" si="0"/>
        <v>690</v>
      </c>
    </row>
    <row r="24" spans="1:7" x14ac:dyDescent="0.2">
      <c r="A24" s="35">
        <v>23</v>
      </c>
      <c r="B24" s="89"/>
      <c r="C24" s="89" t="s">
        <v>172</v>
      </c>
      <c r="D24" s="80" t="s">
        <v>156</v>
      </c>
      <c r="E24" s="90">
        <v>18</v>
      </c>
      <c r="F24" s="90">
        <v>25</v>
      </c>
      <c r="G24" s="92">
        <f t="shared" si="0"/>
        <v>450</v>
      </c>
    </row>
    <row r="25" spans="1:7" x14ac:dyDescent="0.2">
      <c r="A25" s="35"/>
      <c r="B25" s="89"/>
      <c r="C25" s="89" t="s">
        <v>181</v>
      </c>
      <c r="D25" s="80" t="s">
        <v>159</v>
      </c>
      <c r="E25" s="90">
        <v>1</v>
      </c>
      <c r="F25" s="90">
        <v>135</v>
      </c>
      <c r="G25" s="92">
        <f t="shared" si="0"/>
        <v>135</v>
      </c>
    </row>
    <row r="26" spans="1:7" x14ac:dyDescent="0.2">
      <c r="A26" s="35"/>
      <c r="B26" s="89"/>
      <c r="C26" s="89" t="s">
        <v>182</v>
      </c>
      <c r="D26" s="80" t="s">
        <v>159</v>
      </c>
      <c r="E26" s="90">
        <v>1</v>
      </c>
      <c r="F26" s="90">
        <v>40</v>
      </c>
      <c r="G26" s="92">
        <f t="shared" si="0"/>
        <v>40</v>
      </c>
    </row>
    <row r="27" spans="1:7" x14ac:dyDescent="0.2">
      <c r="A27" s="35"/>
      <c r="B27" s="89"/>
      <c r="C27" s="89" t="s">
        <v>183</v>
      </c>
      <c r="D27" s="80" t="s">
        <v>160</v>
      </c>
      <c r="E27" s="90">
        <v>5</v>
      </c>
      <c r="F27" s="90">
        <v>36</v>
      </c>
      <c r="G27" s="92">
        <f t="shared" si="0"/>
        <v>180</v>
      </c>
    </row>
    <row r="28" spans="1:7" s="81" customFormat="1" x14ac:dyDescent="0.2">
      <c r="A28" s="45"/>
      <c r="B28" s="96" t="s">
        <v>8</v>
      </c>
      <c r="C28" s="96"/>
      <c r="D28" s="95"/>
      <c r="E28" s="97"/>
      <c r="F28" s="97"/>
      <c r="G28" s="98">
        <f>SUM(G4:G27)</f>
        <v>48029.673000000003</v>
      </c>
    </row>
    <row r="29" spans="1:7" x14ac:dyDescent="0.2">
      <c r="A29" s="35"/>
      <c r="B29" s="89"/>
      <c r="C29" s="89"/>
      <c r="D29" s="80"/>
      <c r="E29" s="90"/>
      <c r="F29" s="90"/>
      <c r="G29" s="92"/>
    </row>
    <row r="30" spans="1:7" ht="12.75" customHeight="1" x14ac:dyDescent="0.2"/>
  </sheetData>
  <mergeCells count="6">
    <mergeCell ref="B17:B19"/>
    <mergeCell ref="A1:G1"/>
    <mergeCell ref="B4:B5"/>
    <mergeCell ref="A4:A5"/>
    <mergeCell ref="B7:B12"/>
    <mergeCell ref="B13:B16"/>
  </mergeCells>
  <phoneticPr fontId="3" type="noConversion"/>
  <pageMargins left="0.19685039370078741" right="0.19685039370078741" top="0.39370078740157483" bottom="0.39370078740157483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67"/>
  <sheetViews>
    <sheetView workbookViewId="0">
      <selection activeCell="A37" sqref="A37:IV37"/>
    </sheetView>
  </sheetViews>
  <sheetFormatPr defaultRowHeight="12.75" x14ac:dyDescent="0.2"/>
  <cols>
    <col min="1" max="1" width="5" style="34" customWidth="1"/>
    <col min="3" max="3" width="20.7109375" customWidth="1"/>
    <col min="4" max="4" width="8.5703125" style="34" customWidth="1"/>
    <col min="5" max="5" width="12.28515625" style="34" customWidth="1"/>
    <col min="6" max="6" width="8" style="34" customWidth="1"/>
    <col min="7" max="8" width="8.5703125" customWidth="1"/>
    <col min="9" max="9" width="8.140625" customWidth="1"/>
    <col min="10" max="10" width="8.42578125" customWidth="1"/>
    <col min="11" max="11" width="9.85546875" customWidth="1"/>
  </cols>
  <sheetData>
    <row r="1" spans="1:11" x14ac:dyDescent="0.2">
      <c r="A1"/>
      <c r="D1"/>
      <c r="E1"/>
      <c r="G1" t="s">
        <v>201</v>
      </c>
    </row>
    <row r="2" spans="1:11" x14ac:dyDescent="0.2">
      <c r="A2"/>
      <c r="D2"/>
      <c r="E2"/>
    </row>
    <row r="3" spans="1:11" x14ac:dyDescent="0.2">
      <c r="A3"/>
      <c r="D3"/>
      <c r="E3"/>
    </row>
    <row r="4" spans="1:11" x14ac:dyDescent="0.2">
      <c r="A4" s="272" t="s">
        <v>200</v>
      </c>
      <c r="B4" s="308"/>
      <c r="C4" s="308"/>
      <c r="D4" s="308"/>
      <c r="E4" s="308"/>
      <c r="F4" s="308"/>
      <c r="G4" s="308"/>
      <c r="H4" s="301"/>
      <c r="I4" s="301"/>
      <c r="J4" s="301"/>
      <c r="K4" s="301"/>
    </row>
    <row r="5" spans="1:11" x14ac:dyDescent="0.2">
      <c r="A5" s="55"/>
      <c r="B5" s="58"/>
      <c r="C5" s="58"/>
      <c r="D5" s="58"/>
      <c r="E5" s="58"/>
      <c r="F5" s="58"/>
      <c r="G5" s="58"/>
      <c r="H5" s="58"/>
      <c r="I5" s="58"/>
    </row>
    <row r="6" spans="1:11" ht="12.75" customHeight="1" x14ac:dyDescent="0.2">
      <c r="A6" s="274" t="s">
        <v>52</v>
      </c>
      <c r="B6" s="275" t="s">
        <v>0</v>
      </c>
      <c r="C6" s="311"/>
      <c r="D6" s="274" t="s">
        <v>53</v>
      </c>
      <c r="E6" s="274" t="s">
        <v>189</v>
      </c>
      <c r="F6" s="279" t="s">
        <v>55</v>
      </c>
      <c r="G6" s="274" t="s">
        <v>56</v>
      </c>
      <c r="H6" s="1" t="s">
        <v>1</v>
      </c>
      <c r="I6" s="1" t="s">
        <v>3</v>
      </c>
      <c r="J6" s="1" t="s">
        <v>6</v>
      </c>
      <c r="K6" s="1" t="s">
        <v>8</v>
      </c>
    </row>
    <row r="7" spans="1:11" x14ac:dyDescent="0.2">
      <c r="A7" s="309"/>
      <c r="B7" s="312"/>
      <c r="C7" s="313"/>
      <c r="D7" s="309"/>
      <c r="E7" s="309"/>
      <c r="F7" s="320"/>
      <c r="G7" s="309"/>
      <c r="H7" s="2" t="s">
        <v>2</v>
      </c>
      <c r="I7" s="2" t="s">
        <v>4</v>
      </c>
      <c r="J7" s="2" t="s">
        <v>7</v>
      </c>
      <c r="K7" s="2" t="s">
        <v>2</v>
      </c>
    </row>
    <row r="8" spans="1:11" ht="24.75" customHeight="1" x14ac:dyDescent="0.2">
      <c r="A8" s="309"/>
      <c r="B8" s="312"/>
      <c r="C8" s="313"/>
      <c r="D8" s="309"/>
      <c r="E8" s="309"/>
      <c r="F8" s="320"/>
      <c r="G8" s="309"/>
      <c r="H8" s="83"/>
      <c r="I8" s="4">
        <v>1.06</v>
      </c>
      <c r="J8" s="4">
        <v>0.7</v>
      </c>
      <c r="K8" s="5"/>
    </row>
    <row r="9" spans="1:11" ht="0.75" hidden="1" customHeight="1" x14ac:dyDescent="0.2">
      <c r="A9" s="310"/>
      <c r="B9" s="314"/>
      <c r="C9" s="315"/>
      <c r="D9" s="310"/>
      <c r="E9" s="310"/>
      <c r="F9" s="321"/>
      <c r="G9" s="310"/>
      <c r="H9" s="7">
        <v>0.15</v>
      </c>
      <c r="I9" s="3" t="s">
        <v>5</v>
      </c>
      <c r="J9" s="3" t="s">
        <v>5</v>
      </c>
      <c r="K9" s="6"/>
    </row>
    <row r="10" spans="1:11" x14ac:dyDescent="0.2">
      <c r="A10" s="25">
        <v>1</v>
      </c>
      <c r="B10" s="8" t="s">
        <v>85</v>
      </c>
      <c r="C10" s="9"/>
      <c r="D10" s="25" t="s">
        <v>58</v>
      </c>
      <c r="E10" s="25">
        <v>1</v>
      </c>
      <c r="F10" s="25">
        <v>2</v>
      </c>
      <c r="G10" s="14">
        <v>2</v>
      </c>
      <c r="H10" s="18">
        <f t="shared" ref="H10:H23" si="0">58.88*G10</f>
        <v>117.76</v>
      </c>
      <c r="I10" s="18">
        <f t="shared" ref="I10:I23" si="1">H10*1.06</f>
        <v>124.82560000000001</v>
      </c>
      <c r="J10" s="18">
        <f t="shared" ref="J10:J23" si="2">H10*0.7</f>
        <v>82.432000000000002</v>
      </c>
      <c r="K10" s="18">
        <f t="shared" ref="K10:K24" si="3">J10+I10+H10</f>
        <v>325.01760000000002</v>
      </c>
    </row>
    <row r="11" spans="1:11" x14ac:dyDescent="0.2">
      <c r="A11" s="25">
        <v>2</v>
      </c>
      <c r="B11" s="8" t="s">
        <v>86</v>
      </c>
      <c r="C11" s="9"/>
      <c r="D11" s="25" t="s">
        <v>58</v>
      </c>
      <c r="E11" s="25">
        <v>1.5</v>
      </c>
      <c r="F11" s="25">
        <v>2</v>
      </c>
      <c r="G11" s="14">
        <v>3</v>
      </c>
      <c r="H11" s="18">
        <f t="shared" si="0"/>
        <v>176.64000000000001</v>
      </c>
      <c r="I11" s="18">
        <f t="shared" si="1"/>
        <v>187.23840000000001</v>
      </c>
      <c r="J11" s="18">
        <f t="shared" si="2"/>
        <v>123.648</v>
      </c>
      <c r="K11" s="18">
        <f t="shared" si="3"/>
        <v>487.52639999999997</v>
      </c>
    </row>
    <row r="12" spans="1:11" ht="24.75" customHeight="1" x14ac:dyDescent="0.2">
      <c r="A12" s="25">
        <v>3</v>
      </c>
      <c r="B12" s="316" t="s">
        <v>87</v>
      </c>
      <c r="C12" s="292"/>
      <c r="D12" s="25" t="s">
        <v>58</v>
      </c>
      <c r="E12" s="25">
        <v>3</v>
      </c>
      <c r="F12" s="25">
        <v>3</v>
      </c>
      <c r="G12" s="14">
        <v>9</v>
      </c>
      <c r="H12" s="18">
        <f t="shared" si="0"/>
        <v>529.92000000000007</v>
      </c>
      <c r="I12" s="18">
        <f t="shared" si="1"/>
        <v>561.7152000000001</v>
      </c>
      <c r="J12" s="18">
        <f t="shared" si="2"/>
        <v>370.94400000000002</v>
      </c>
      <c r="K12" s="18">
        <f t="shared" si="3"/>
        <v>1462.5792000000001</v>
      </c>
    </row>
    <row r="13" spans="1:11" ht="26.25" customHeight="1" x14ac:dyDescent="0.2">
      <c r="A13" s="25">
        <v>4</v>
      </c>
      <c r="B13" s="316" t="s">
        <v>88</v>
      </c>
      <c r="C13" s="292"/>
      <c r="D13" s="25" t="s">
        <v>58</v>
      </c>
      <c r="E13" s="25">
        <v>8</v>
      </c>
      <c r="F13" s="25">
        <v>3</v>
      </c>
      <c r="G13" s="14">
        <v>24</v>
      </c>
      <c r="H13" s="18">
        <f t="shared" si="0"/>
        <v>1413.1200000000001</v>
      </c>
      <c r="I13" s="18">
        <f t="shared" si="1"/>
        <v>1497.9072000000001</v>
      </c>
      <c r="J13" s="18">
        <f t="shared" si="2"/>
        <v>989.18399999999997</v>
      </c>
      <c r="K13" s="18">
        <f t="shared" si="3"/>
        <v>3900.2111999999997</v>
      </c>
    </row>
    <row r="14" spans="1:11" x14ac:dyDescent="0.2">
      <c r="A14" s="25">
        <v>5</v>
      </c>
      <c r="B14" s="8" t="s">
        <v>89</v>
      </c>
      <c r="C14" s="9"/>
      <c r="D14" s="25" t="s">
        <v>58</v>
      </c>
      <c r="E14" s="25">
        <v>4</v>
      </c>
      <c r="F14" s="25">
        <v>3</v>
      </c>
      <c r="G14" s="14">
        <v>12</v>
      </c>
      <c r="H14" s="18">
        <f t="shared" si="0"/>
        <v>706.56000000000006</v>
      </c>
      <c r="I14" s="18">
        <f t="shared" si="1"/>
        <v>748.95360000000005</v>
      </c>
      <c r="J14" s="18">
        <f t="shared" si="2"/>
        <v>494.59199999999998</v>
      </c>
      <c r="K14" s="18">
        <f t="shared" si="3"/>
        <v>1950.1055999999999</v>
      </c>
    </row>
    <row r="15" spans="1:11" x14ac:dyDescent="0.2">
      <c r="A15" s="25">
        <v>6</v>
      </c>
      <c r="B15" s="8" t="s">
        <v>188</v>
      </c>
      <c r="C15" s="9"/>
      <c r="D15" s="25" t="s">
        <v>58</v>
      </c>
      <c r="E15" s="25">
        <v>2</v>
      </c>
      <c r="F15" s="25">
        <v>2</v>
      </c>
      <c r="G15" s="14">
        <v>8</v>
      </c>
      <c r="H15" s="18">
        <f t="shared" si="0"/>
        <v>471.04</v>
      </c>
      <c r="I15" s="18">
        <f t="shared" si="1"/>
        <v>499.30240000000003</v>
      </c>
      <c r="J15" s="18">
        <f t="shared" si="2"/>
        <v>329.72800000000001</v>
      </c>
      <c r="K15" s="18">
        <f t="shared" si="3"/>
        <v>1300.0704000000001</v>
      </c>
    </row>
    <row r="16" spans="1:11" s="63" customFormat="1" ht="22.5" x14ac:dyDescent="0.2">
      <c r="A16" s="47">
        <v>7</v>
      </c>
      <c r="B16" s="60" t="s">
        <v>91</v>
      </c>
      <c r="C16" s="61"/>
      <c r="D16" s="47" t="s">
        <v>92</v>
      </c>
      <c r="E16" s="48" t="s">
        <v>145</v>
      </c>
      <c r="F16" s="47">
        <v>2</v>
      </c>
      <c r="G16" s="46">
        <f>1.45*1.5*2</f>
        <v>4.3499999999999996</v>
      </c>
      <c r="H16" s="62">
        <f t="shared" si="0"/>
        <v>256.12799999999999</v>
      </c>
      <c r="I16" s="62">
        <f t="shared" si="1"/>
        <v>271.49567999999999</v>
      </c>
      <c r="J16" s="62">
        <f t="shared" si="2"/>
        <v>179.28959999999998</v>
      </c>
      <c r="K16" s="62">
        <f t="shared" si="3"/>
        <v>706.91327999999999</v>
      </c>
    </row>
    <row r="17" spans="1:13" x14ac:dyDescent="0.2">
      <c r="A17" s="25">
        <v>8</v>
      </c>
      <c r="B17" s="8" t="s">
        <v>94</v>
      </c>
      <c r="C17" s="9"/>
      <c r="D17" s="25" t="s">
        <v>58</v>
      </c>
      <c r="E17" s="25">
        <v>3</v>
      </c>
      <c r="F17" s="25">
        <v>2</v>
      </c>
      <c r="G17" s="14">
        <v>6</v>
      </c>
      <c r="H17" s="18">
        <f t="shared" si="0"/>
        <v>353.28000000000003</v>
      </c>
      <c r="I17" s="18">
        <f t="shared" si="1"/>
        <v>374.47680000000003</v>
      </c>
      <c r="J17" s="18">
        <f t="shared" si="2"/>
        <v>247.29599999999999</v>
      </c>
      <c r="K17" s="18">
        <f t="shared" si="3"/>
        <v>975.05279999999993</v>
      </c>
    </row>
    <row r="18" spans="1:13" x14ac:dyDescent="0.2">
      <c r="A18" s="25">
        <v>9</v>
      </c>
      <c r="B18" s="8" t="s">
        <v>95</v>
      </c>
      <c r="C18" s="9"/>
      <c r="D18" s="25" t="s">
        <v>58</v>
      </c>
      <c r="E18" s="25">
        <v>1</v>
      </c>
      <c r="F18" s="25">
        <v>2</v>
      </c>
      <c r="G18" s="14">
        <v>2</v>
      </c>
      <c r="H18" s="18">
        <f t="shared" si="0"/>
        <v>117.76</v>
      </c>
      <c r="I18" s="18">
        <f t="shared" si="1"/>
        <v>124.82560000000001</v>
      </c>
      <c r="J18" s="18">
        <f t="shared" si="2"/>
        <v>82.432000000000002</v>
      </c>
      <c r="K18" s="18">
        <f t="shared" si="3"/>
        <v>325.01760000000002</v>
      </c>
    </row>
    <row r="19" spans="1:13" ht="11.25" customHeight="1" x14ac:dyDescent="0.2">
      <c r="A19" s="25">
        <v>10</v>
      </c>
      <c r="B19" s="8" t="s">
        <v>96</v>
      </c>
      <c r="C19" s="9"/>
      <c r="D19" s="25" t="s">
        <v>58</v>
      </c>
      <c r="E19" s="25">
        <v>3.4</v>
      </c>
      <c r="F19" s="25">
        <v>2</v>
      </c>
      <c r="G19" s="14">
        <v>6.8</v>
      </c>
      <c r="H19" s="18">
        <f t="shared" si="0"/>
        <v>400.38400000000001</v>
      </c>
      <c r="I19" s="18">
        <f t="shared" si="1"/>
        <v>424.40704000000005</v>
      </c>
      <c r="J19" s="18">
        <f t="shared" si="2"/>
        <v>280.2688</v>
      </c>
      <c r="K19" s="18">
        <f t="shared" si="3"/>
        <v>1105.0598400000001</v>
      </c>
    </row>
    <row r="20" spans="1:13" ht="39.75" customHeight="1" x14ac:dyDescent="0.2">
      <c r="A20" s="25">
        <v>11</v>
      </c>
      <c r="B20" s="317" t="s">
        <v>97</v>
      </c>
      <c r="C20" s="318"/>
      <c r="D20" s="47" t="s">
        <v>98</v>
      </c>
      <c r="E20" s="48" t="s">
        <v>146</v>
      </c>
      <c r="F20" s="47">
        <v>2</v>
      </c>
      <c r="G20" s="46">
        <f>2.62*6*2</f>
        <v>31.44</v>
      </c>
      <c r="H20" s="62">
        <f t="shared" si="0"/>
        <v>1851.1872000000001</v>
      </c>
      <c r="I20" s="62">
        <f t="shared" si="1"/>
        <v>1962.2584320000001</v>
      </c>
      <c r="J20" s="62">
        <f t="shared" si="2"/>
        <v>1295.83104</v>
      </c>
      <c r="K20" s="62">
        <f t="shared" si="3"/>
        <v>5109.276672</v>
      </c>
    </row>
    <row r="21" spans="1:13" ht="24" customHeight="1" x14ac:dyDescent="0.2">
      <c r="A21" s="25">
        <v>12</v>
      </c>
      <c r="B21" s="317" t="s">
        <v>100</v>
      </c>
      <c r="C21" s="319"/>
      <c r="D21" s="25" t="s">
        <v>58</v>
      </c>
      <c r="E21" s="25">
        <v>0.4</v>
      </c>
      <c r="F21" s="25">
        <v>1</v>
      </c>
      <c r="G21" s="14">
        <v>0.4</v>
      </c>
      <c r="H21" s="18">
        <f t="shared" si="0"/>
        <v>23.552000000000003</v>
      </c>
      <c r="I21" s="18">
        <f t="shared" si="1"/>
        <v>24.965120000000006</v>
      </c>
      <c r="J21" s="18">
        <f t="shared" si="2"/>
        <v>16.4864</v>
      </c>
      <c r="K21" s="18">
        <f t="shared" si="3"/>
        <v>65.003520000000009</v>
      </c>
    </row>
    <row r="22" spans="1:13" ht="25.5" customHeight="1" x14ac:dyDescent="0.2">
      <c r="A22" s="25">
        <v>13</v>
      </c>
      <c r="B22" s="316" t="s">
        <v>101</v>
      </c>
      <c r="C22" s="292"/>
      <c r="D22" s="25" t="s">
        <v>58</v>
      </c>
      <c r="E22" s="25">
        <v>0.25</v>
      </c>
      <c r="F22" s="25">
        <v>2</v>
      </c>
      <c r="G22" s="14">
        <f>E22*F22</f>
        <v>0.5</v>
      </c>
      <c r="H22" s="18">
        <f t="shared" si="0"/>
        <v>29.44</v>
      </c>
      <c r="I22" s="18">
        <f t="shared" si="1"/>
        <v>31.206400000000002</v>
      </c>
      <c r="J22" s="18">
        <f t="shared" si="2"/>
        <v>20.608000000000001</v>
      </c>
      <c r="K22" s="18">
        <f t="shared" si="3"/>
        <v>81.254400000000004</v>
      </c>
    </row>
    <row r="23" spans="1:13" x14ac:dyDescent="0.2">
      <c r="A23" s="25">
        <v>14</v>
      </c>
      <c r="B23" s="317" t="s">
        <v>102</v>
      </c>
      <c r="C23" s="319"/>
      <c r="D23" s="25" t="s">
        <v>58</v>
      </c>
      <c r="E23" s="25">
        <v>6</v>
      </c>
      <c r="F23" s="25">
        <v>2</v>
      </c>
      <c r="G23" s="14">
        <f>E23*F23</f>
        <v>12</v>
      </c>
      <c r="H23" s="18">
        <f t="shared" si="0"/>
        <v>706.56000000000006</v>
      </c>
      <c r="I23" s="18">
        <f t="shared" si="1"/>
        <v>748.95360000000005</v>
      </c>
      <c r="J23" s="18">
        <f t="shared" si="2"/>
        <v>494.59199999999998</v>
      </c>
      <c r="K23" s="18">
        <f t="shared" si="3"/>
        <v>1950.1055999999999</v>
      </c>
    </row>
    <row r="24" spans="1:13" x14ac:dyDescent="0.2">
      <c r="A24" s="21"/>
      <c r="B24" s="289" t="s">
        <v>143</v>
      </c>
      <c r="C24" s="322"/>
      <c r="D24" s="22"/>
      <c r="E24" s="21"/>
      <c r="F24" s="21"/>
      <c r="G24" s="22">
        <f>SUM(G10:G23)</f>
        <v>121.49</v>
      </c>
      <c r="H24" s="78">
        <f>SUM(H10:H23)</f>
        <v>7153.3312000000005</v>
      </c>
      <c r="I24" s="23">
        <f>SUM(I10:I23)</f>
        <v>7582.5310720000007</v>
      </c>
      <c r="J24" s="23">
        <f>SUM(J10:J23)</f>
        <v>5007.3318399999998</v>
      </c>
      <c r="K24" s="23">
        <f t="shared" si="3"/>
        <v>19743.194112000001</v>
      </c>
      <c r="L24" s="71"/>
    </row>
    <row r="25" spans="1:13" x14ac:dyDescent="0.2">
      <c r="A25" s="262"/>
      <c r="B25" s="265" t="s">
        <v>46</v>
      </c>
      <c r="C25" s="323"/>
      <c r="D25" s="262"/>
      <c r="E25" s="262"/>
      <c r="F25" s="262"/>
      <c r="G25" s="27">
        <f>G24*1.15</f>
        <v>139.71349999999998</v>
      </c>
      <c r="H25" s="27">
        <f>G25*58.88</f>
        <v>8226.3308799999995</v>
      </c>
      <c r="I25" s="27">
        <f>H25*1.06</f>
        <v>8719.9107327999991</v>
      </c>
      <c r="J25" s="27">
        <f>H25*0.7</f>
        <v>5758.4316159999989</v>
      </c>
      <c r="K25" s="42">
        <f>K24*1.15</f>
        <v>22704.673228799998</v>
      </c>
      <c r="L25" s="71"/>
    </row>
    <row r="26" spans="1:13" x14ac:dyDescent="0.2">
      <c r="A26" s="280"/>
      <c r="B26" s="270" t="s">
        <v>47</v>
      </c>
      <c r="C26" s="324"/>
      <c r="D26" s="280"/>
      <c r="E26" s="280"/>
      <c r="F26" s="280"/>
      <c r="G26" s="15"/>
      <c r="H26" s="29"/>
      <c r="I26" s="29"/>
      <c r="J26" s="29"/>
      <c r="K26" s="29"/>
    </row>
    <row r="27" spans="1:13" x14ac:dyDescent="0.2">
      <c r="A27" s="281"/>
      <c r="B27" s="282" t="s">
        <v>48</v>
      </c>
      <c r="C27" s="296"/>
      <c r="D27" s="281"/>
      <c r="E27" s="281"/>
      <c r="F27" s="281"/>
      <c r="G27" s="16"/>
      <c r="H27" s="28"/>
      <c r="I27" s="28"/>
      <c r="J27" s="28"/>
      <c r="K27" s="28"/>
      <c r="M27">
        <f>G25/8</f>
        <v>17.464187499999998</v>
      </c>
    </row>
    <row r="28" spans="1:13" ht="24.75" customHeight="1" x14ac:dyDescent="0.2">
      <c r="A28" s="20"/>
      <c r="B28" s="283" t="s">
        <v>187</v>
      </c>
      <c r="C28" s="325"/>
      <c r="D28" s="43"/>
      <c r="E28" s="20"/>
      <c r="F28" s="20"/>
      <c r="G28" s="20"/>
      <c r="H28" s="40"/>
      <c r="I28" s="41"/>
      <c r="J28" s="13"/>
      <c r="K28" s="28">
        <f>K25*5/100</f>
        <v>1135.2336614400001</v>
      </c>
    </row>
    <row r="29" spans="1:13" ht="25.5" customHeight="1" x14ac:dyDescent="0.2">
      <c r="A29" s="20"/>
      <c r="B29" s="283" t="s">
        <v>185</v>
      </c>
      <c r="C29" s="332"/>
      <c r="D29" s="43"/>
      <c r="E29" s="20"/>
      <c r="F29" s="20"/>
      <c r="G29" s="20"/>
      <c r="H29" s="40"/>
      <c r="I29" s="41"/>
      <c r="J29" s="13"/>
      <c r="K29" s="28">
        <f>K28*0.14</f>
        <v>158.93271260160003</v>
      </c>
    </row>
    <row r="30" spans="1:13" x14ac:dyDescent="0.2">
      <c r="A30" s="20"/>
      <c r="B30" s="293" t="s">
        <v>49</v>
      </c>
      <c r="C30" s="326"/>
      <c r="D30" s="20" t="s">
        <v>121</v>
      </c>
      <c r="E30" s="20"/>
      <c r="F30" s="20"/>
      <c r="G30" s="35">
        <v>17</v>
      </c>
      <c r="H30" s="294" t="s">
        <v>194</v>
      </c>
      <c r="I30" s="330"/>
      <c r="J30" s="331"/>
      <c r="K30" s="18">
        <f>17*350</f>
        <v>5950</v>
      </c>
    </row>
    <row r="31" spans="1:13" x14ac:dyDescent="0.2">
      <c r="A31" s="20"/>
      <c r="B31" s="282" t="s">
        <v>50</v>
      </c>
      <c r="C31" s="296"/>
      <c r="D31" s="20" t="s">
        <v>51</v>
      </c>
      <c r="E31" s="20"/>
      <c r="F31" s="20"/>
      <c r="G31" s="20">
        <v>2</v>
      </c>
      <c r="H31" s="327" t="s">
        <v>122</v>
      </c>
      <c r="I31" s="328"/>
      <c r="J31" s="329"/>
      <c r="K31" s="28">
        <f>200/50*2*380</f>
        <v>3040</v>
      </c>
    </row>
    <row r="32" spans="1:13" x14ac:dyDescent="0.2">
      <c r="A32" s="20"/>
      <c r="B32" s="334" t="s">
        <v>142</v>
      </c>
      <c r="C32" s="335"/>
      <c r="D32" s="37"/>
      <c r="E32" s="37"/>
      <c r="F32" s="37"/>
      <c r="G32" s="38"/>
      <c r="H32" s="39"/>
      <c r="I32" s="39"/>
      <c r="J32" s="39"/>
      <c r="K32" s="39">
        <f>K31+K30+K29+K28+K25</f>
        <v>32988.839602841603</v>
      </c>
    </row>
    <row r="33" spans="1:11" x14ac:dyDescent="0.2">
      <c r="A33" s="19"/>
      <c r="B33" s="290" t="s">
        <v>199</v>
      </c>
      <c r="C33" s="336"/>
      <c r="D33" s="19"/>
      <c r="E33" s="19"/>
      <c r="F33" s="19"/>
      <c r="G33" s="19"/>
      <c r="H33" s="18"/>
      <c r="I33" s="18"/>
      <c r="J33" s="18"/>
      <c r="K33" s="33">
        <f>K32*2</f>
        <v>65977.679205683206</v>
      </c>
    </row>
    <row r="34" spans="1:11" x14ac:dyDescent="0.2">
      <c r="A34" s="58"/>
      <c r="B34" s="67"/>
      <c r="C34" s="67"/>
      <c r="D34" s="55"/>
      <c r="E34" s="55"/>
      <c r="F34" s="55"/>
      <c r="G34" s="68"/>
      <c r="H34" s="84"/>
      <c r="I34" s="84"/>
      <c r="J34" s="84"/>
      <c r="K34" s="84"/>
    </row>
    <row r="35" spans="1:11" x14ac:dyDescent="0.2">
      <c r="A35" s="300" t="s">
        <v>74</v>
      </c>
      <c r="B35" s="337"/>
      <c r="C35" s="337"/>
      <c r="D35" s="337"/>
      <c r="E35" s="337"/>
      <c r="F35" s="272"/>
      <c r="G35" s="272"/>
      <c r="H35" s="84"/>
      <c r="I35" s="84"/>
      <c r="J35" s="84"/>
      <c r="K35" s="84"/>
    </row>
    <row r="36" spans="1:11" x14ac:dyDescent="0.2">
      <c r="A36" s="65"/>
      <c r="B36" s="66"/>
      <c r="C36" s="66"/>
      <c r="D36" s="66"/>
      <c r="E36" s="66"/>
      <c r="F36" s="55"/>
      <c r="G36" s="55"/>
      <c r="H36" s="84"/>
      <c r="I36" s="84"/>
      <c r="J36" s="84"/>
      <c r="K36" s="84"/>
    </row>
    <row r="37" spans="1:11" x14ac:dyDescent="0.2">
      <c r="A37" s="65"/>
      <c r="B37" s="66" t="s">
        <v>198</v>
      </c>
      <c r="C37" s="66"/>
      <c r="D37" s="66"/>
      <c r="E37" s="66"/>
      <c r="F37" s="55"/>
      <c r="G37" s="55"/>
      <c r="H37" s="84"/>
      <c r="I37" s="84"/>
      <c r="J37" s="84"/>
      <c r="K37" s="84"/>
    </row>
    <row r="38" spans="1:11" x14ac:dyDescent="0.2">
      <c r="A38" s="65"/>
      <c r="B38" s="66"/>
      <c r="C38" s="66"/>
      <c r="D38" s="66"/>
      <c r="E38" s="66"/>
      <c r="F38" s="55"/>
      <c r="G38" s="55"/>
      <c r="H38" s="84"/>
      <c r="I38" s="84"/>
      <c r="J38" s="84"/>
      <c r="K38" s="84"/>
    </row>
    <row r="39" spans="1:11" x14ac:dyDescent="0.2">
      <c r="A39" s="65"/>
      <c r="B39" s="66"/>
      <c r="C39" s="66"/>
      <c r="D39" s="66"/>
      <c r="E39" s="66"/>
      <c r="F39" s="55"/>
      <c r="G39" s="55"/>
      <c r="H39" s="84"/>
      <c r="I39" s="84"/>
      <c r="J39" s="84"/>
      <c r="K39" s="84"/>
    </row>
    <row r="40" spans="1:11" x14ac:dyDescent="0.2">
      <c r="F40"/>
      <c r="H40" s="84"/>
      <c r="I40" s="84"/>
      <c r="J40" s="84"/>
      <c r="K40" s="84"/>
    </row>
    <row r="41" spans="1:11" x14ac:dyDescent="0.2">
      <c r="A41" t="s">
        <v>75</v>
      </c>
      <c r="D41"/>
      <c r="E41"/>
      <c r="F41" t="s">
        <v>76</v>
      </c>
      <c r="H41" s="84"/>
      <c r="I41" s="84"/>
      <c r="J41" s="84"/>
      <c r="K41" s="84"/>
    </row>
    <row r="42" spans="1:11" x14ac:dyDescent="0.2">
      <c r="A42" t="s">
        <v>77</v>
      </c>
      <c r="D42"/>
      <c r="E42"/>
      <c r="F42" t="s">
        <v>79</v>
      </c>
      <c r="H42" s="84"/>
      <c r="I42" s="84"/>
      <c r="J42" s="84"/>
      <c r="K42" s="84"/>
    </row>
    <row r="43" spans="1:11" x14ac:dyDescent="0.2">
      <c r="A43" t="s">
        <v>78</v>
      </c>
      <c r="D43"/>
      <c r="E43"/>
      <c r="F43" t="s">
        <v>80</v>
      </c>
      <c r="H43" s="84"/>
      <c r="I43" s="84"/>
      <c r="J43" s="84"/>
      <c r="K43" s="84"/>
    </row>
    <row r="44" spans="1:11" x14ac:dyDescent="0.2">
      <c r="A44" t="s">
        <v>82</v>
      </c>
      <c r="D44"/>
      <c r="E44"/>
      <c r="F44" t="s">
        <v>81</v>
      </c>
      <c r="H44" s="84"/>
      <c r="I44" s="84"/>
      <c r="J44" s="84"/>
      <c r="K44" s="84"/>
    </row>
    <row r="45" spans="1:11" x14ac:dyDescent="0.2">
      <c r="F45"/>
      <c r="H45" s="84"/>
      <c r="I45" s="84"/>
      <c r="J45" s="84"/>
      <c r="K45" s="84"/>
    </row>
    <row r="46" spans="1:11" x14ac:dyDescent="0.2">
      <c r="H46" s="84"/>
      <c r="I46" s="84"/>
      <c r="J46" s="84"/>
      <c r="K46" s="84"/>
    </row>
    <row r="47" spans="1:11" x14ac:dyDescent="0.2">
      <c r="H47" s="84"/>
      <c r="I47" s="84"/>
      <c r="J47" s="84"/>
      <c r="K47" s="84"/>
    </row>
    <row r="48" spans="1:11" x14ac:dyDescent="0.2">
      <c r="H48" s="84"/>
      <c r="I48" s="84"/>
      <c r="J48" s="84"/>
      <c r="K48" s="84"/>
    </row>
    <row r="49" spans="7:11" x14ac:dyDescent="0.2">
      <c r="H49" s="84"/>
      <c r="I49" s="84"/>
      <c r="J49" s="84"/>
      <c r="K49" s="84"/>
    </row>
    <row r="50" spans="7:11" x14ac:dyDescent="0.2">
      <c r="H50" s="84"/>
      <c r="I50" s="84"/>
      <c r="J50" s="84"/>
      <c r="K50" s="84"/>
    </row>
    <row r="51" spans="7:11" x14ac:dyDescent="0.2">
      <c r="H51" s="84"/>
      <c r="I51" s="85"/>
      <c r="J51" s="85"/>
      <c r="K51" s="85"/>
    </row>
    <row r="52" spans="7:11" x14ac:dyDescent="0.2">
      <c r="H52" s="299"/>
      <c r="I52" s="299"/>
      <c r="J52" s="299"/>
      <c r="K52" s="299"/>
    </row>
    <row r="53" spans="7:11" x14ac:dyDescent="0.2">
      <c r="H53" s="333"/>
      <c r="I53" s="333"/>
      <c r="J53" s="333"/>
      <c r="K53" s="333"/>
    </row>
    <row r="54" spans="7:11" x14ac:dyDescent="0.2">
      <c r="H54" s="299"/>
      <c r="I54" s="299"/>
      <c r="J54" s="299"/>
      <c r="K54" s="299"/>
    </row>
    <row r="55" spans="7:11" x14ac:dyDescent="0.2">
      <c r="H55" s="333"/>
      <c r="I55" s="333"/>
      <c r="J55" s="333"/>
      <c r="K55" s="333"/>
    </row>
    <row r="56" spans="7:11" x14ac:dyDescent="0.2">
      <c r="H56" s="299"/>
      <c r="I56" s="299"/>
      <c r="J56" s="299"/>
      <c r="K56" s="299"/>
    </row>
    <row r="57" spans="7:11" x14ac:dyDescent="0.2">
      <c r="H57" s="333"/>
      <c r="I57" s="333"/>
      <c r="J57" s="333"/>
      <c r="K57" s="333"/>
    </row>
    <row r="58" spans="7:11" x14ac:dyDescent="0.2">
      <c r="H58" s="84"/>
      <c r="I58" s="84"/>
      <c r="J58" s="84"/>
      <c r="K58" s="84"/>
    </row>
    <row r="59" spans="7:11" x14ac:dyDescent="0.2">
      <c r="H59" s="84"/>
      <c r="I59" s="84"/>
      <c r="J59" s="84"/>
      <c r="K59" s="56"/>
    </row>
    <row r="60" spans="7:11" x14ac:dyDescent="0.2">
      <c r="G60" s="54"/>
      <c r="H60" s="121"/>
      <c r="I60" s="121"/>
      <c r="J60" s="121"/>
      <c r="K60" s="84"/>
    </row>
    <row r="61" spans="7:11" x14ac:dyDescent="0.2">
      <c r="H61" s="84"/>
      <c r="I61" s="84"/>
      <c r="J61" s="84"/>
      <c r="K61" s="84"/>
    </row>
    <row r="62" spans="7:11" x14ac:dyDescent="0.2">
      <c r="H62" s="84"/>
      <c r="I62" s="84"/>
      <c r="J62" s="84"/>
      <c r="K62" s="84"/>
    </row>
    <row r="63" spans="7:11" x14ac:dyDescent="0.2">
      <c r="H63" s="84"/>
      <c r="I63" s="84"/>
      <c r="J63" s="84"/>
      <c r="K63" s="84"/>
    </row>
    <row r="64" spans="7:11" x14ac:dyDescent="0.2">
      <c r="H64" s="84"/>
      <c r="I64" s="84"/>
      <c r="J64" s="84"/>
      <c r="K64" s="56"/>
    </row>
    <row r="65" spans="8:11" x14ac:dyDescent="0.2">
      <c r="H65" s="70"/>
      <c r="I65" s="70"/>
      <c r="J65" s="70"/>
      <c r="K65" s="70"/>
    </row>
    <row r="66" spans="8:11" x14ac:dyDescent="0.2">
      <c r="H66" s="70"/>
      <c r="I66" s="70"/>
      <c r="J66" s="70"/>
      <c r="K66" s="70"/>
    </row>
    <row r="67" spans="8:11" x14ac:dyDescent="0.2">
      <c r="H67" s="70"/>
      <c r="I67" s="70"/>
      <c r="J67" s="70"/>
      <c r="K67" s="70"/>
    </row>
  </sheetData>
  <mergeCells count="43">
    <mergeCell ref="H56:H57"/>
    <mergeCell ref="I56:I57"/>
    <mergeCell ref="J56:J57"/>
    <mergeCell ref="K56:K57"/>
    <mergeCell ref="K52:K53"/>
    <mergeCell ref="H54:H55"/>
    <mergeCell ref="I54:I55"/>
    <mergeCell ref="J54:J55"/>
    <mergeCell ref="K54:K55"/>
    <mergeCell ref="F35:G35"/>
    <mergeCell ref="H52:H53"/>
    <mergeCell ref="I52:I53"/>
    <mergeCell ref="J52:J53"/>
    <mergeCell ref="B32:C32"/>
    <mergeCell ref="B33:C33"/>
    <mergeCell ref="A35:E35"/>
    <mergeCell ref="B31:C31"/>
    <mergeCell ref="B28:C28"/>
    <mergeCell ref="B30:C30"/>
    <mergeCell ref="H31:J31"/>
    <mergeCell ref="D25:D27"/>
    <mergeCell ref="E25:E27"/>
    <mergeCell ref="F25:F27"/>
    <mergeCell ref="H30:J30"/>
    <mergeCell ref="B29:C29"/>
    <mergeCell ref="B22:C22"/>
    <mergeCell ref="B23:C23"/>
    <mergeCell ref="B24:C24"/>
    <mergeCell ref="A25:A27"/>
    <mergeCell ref="B25:C25"/>
    <mergeCell ref="B26:C26"/>
    <mergeCell ref="B27:C27"/>
    <mergeCell ref="B12:C12"/>
    <mergeCell ref="B13:C13"/>
    <mergeCell ref="B20:C20"/>
    <mergeCell ref="B21:C21"/>
    <mergeCell ref="F6:F9"/>
    <mergeCell ref="A4:K4"/>
    <mergeCell ref="A6:A9"/>
    <mergeCell ref="B6:C9"/>
    <mergeCell ref="D6:D9"/>
    <mergeCell ref="E6:E9"/>
    <mergeCell ref="G6:G9"/>
  </mergeCells>
  <phoneticPr fontId="3" type="noConversion"/>
  <pageMargins left="0.19685039370078741" right="0.19685039370078741" top="0.19685039370078741" bottom="0.19685039370078741" header="0" footer="0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63"/>
  <sheetViews>
    <sheetView topLeftCell="A22" workbookViewId="0">
      <selection activeCell="A35" sqref="A35:IV35"/>
    </sheetView>
  </sheetViews>
  <sheetFormatPr defaultRowHeight="12.75" x14ac:dyDescent="0.2"/>
  <cols>
    <col min="1" max="1" width="5" style="34" customWidth="1"/>
    <col min="3" max="3" width="20.7109375" customWidth="1"/>
    <col min="4" max="4" width="8.5703125" style="34" customWidth="1"/>
    <col min="5" max="5" width="11.7109375" style="34" customWidth="1"/>
    <col min="6" max="6" width="7.140625" style="34" customWidth="1"/>
    <col min="7" max="7" width="8" customWidth="1"/>
    <col min="11" max="11" width="9.5703125" bestFit="1" customWidth="1"/>
  </cols>
  <sheetData>
    <row r="1" spans="1:11" x14ac:dyDescent="0.2">
      <c r="A1"/>
      <c r="D1"/>
      <c r="E1"/>
      <c r="G1" t="s">
        <v>201</v>
      </c>
    </row>
    <row r="2" spans="1:11" x14ac:dyDescent="0.2">
      <c r="A2"/>
      <c r="D2"/>
      <c r="E2"/>
    </row>
    <row r="3" spans="1:11" x14ac:dyDescent="0.2">
      <c r="A3" s="272" t="s">
        <v>144</v>
      </c>
      <c r="B3" s="308"/>
      <c r="C3" s="308"/>
      <c r="D3" s="308"/>
      <c r="E3" s="308"/>
      <c r="F3" s="308"/>
      <c r="G3" s="308"/>
      <c r="H3" s="301"/>
      <c r="I3" s="301"/>
      <c r="J3" s="301"/>
      <c r="K3" s="301"/>
    </row>
    <row r="4" spans="1:11" x14ac:dyDescent="0.2">
      <c r="A4" s="55"/>
      <c r="B4" s="58"/>
      <c r="C4" s="58"/>
      <c r="D4" s="58"/>
      <c r="E4" s="58"/>
      <c r="F4" s="58"/>
      <c r="G4" s="58"/>
      <c r="H4" s="82"/>
      <c r="I4" s="82"/>
      <c r="J4" s="82"/>
      <c r="K4" s="82"/>
    </row>
    <row r="5" spans="1:11" ht="12.75" customHeight="1" x14ac:dyDescent="0.2">
      <c r="A5" s="274" t="s">
        <v>52</v>
      </c>
      <c r="B5" s="275" t="s">
        <v>0</v>
      </c>
      <c r="C5" s="311"/>
      <c r="D5" s="279" t="s">
        <v>53</v>
      </c>
      <c r="E5" s="279" t="s">
        <v>54</v>
      </c>
      <c r="F5" s="279" t="s">
        <v>55</v>
      </c>
      <c r="G5" s="274" t="s">
        <v>56</v>
      </c>
      <c r="H5" s="1" t="s">
        <v>1</v>
      </c>
      <c r="I5" s="1" t="s">
        <v>3</v>
      </c>
      <c r="J5" s="1" t="s">
        <v>6</v>
      </c>
      <c r="K5" s="1" t="s">
        <v>8</v>
      </c>
    </row>
    <row r="6" spans="1:11" x14ac:dyDescent="0.2">
      <c r="A6" s="309"/>
      <c r="B6" s="312"/>
      <c r="C6" s="313"/>
      <c r="D6" s="320"/>
      <c r="E6" s="320"/>
      <c r="F6" s="320"/>
      <c r="G6" s="309"/>
      <c r="H6" s="2" t="s">
        <v>2</v>
      </c>
      <c r="I6" s="2" t="s">
        <v>4</v>
      </c>
      <c r="J6" s="2" t="s">
        <v>7</v>
      </c>
      <c r="K6" s="2" t="s">
        <v>2</v>
      </c>
    </row>
    <row r="7" spans="1:11" ht="24.75" customHeight="1" x14ac:dyDescent="0.2">
      <c r="A7" s="309"/>
      <c r="B7" s="312"/>
      <c r="C7" s="313"/>
      <c r="D7" s="320"/>
      <c r="E7" s="320"/>
      <c r="F7" s="320"/>
      <c r="G7" s="309"/>
      <c r="H7" s="83" t="s">
        <v>140</v>
      </c>
      <c r="I7" s="4">
        <v>1.06</v>
      </c>
      <c r="J7" s="4">
        <v>0.7</v>
      </c>
      <c r="K7" s="5"/>
    </row>
    <row r="8" spans="1:11" ht="0.75" hidden="1" customHeight="1" x14ac:dyDescent="0.2">
      <c r="A8" s="310"/>
      <c r="B8" s="314"/>
      <c r="C8" s="315"/>
      <c r="D8" s="321"/>
      <c r="E8" s="321"/>
      <c r="F8" s="321"/>
      <c r="G8" s="310"/>
      <c r="H8" s="7">
        <v>0.15</v>
      </c>
      <c r="I8" s="3" t="s">
        <v>5</v>
      </c>
      <c r="J8" s="3" t="s">
        <v>5</v>
      </c>
      <c r="K8" s="6"/>
    </row>
    <row r="9" spans="1:11" x14ac:dyDescent="0.2">
      <c r="A9" s="25">
        <v>1</v>
      </c>
      <c r="B9" s="8" t="s">
        <v>85</v>
      </c>
      <c r="C9" s="9"/>
      <c r="D9" s="25" t="s">
        <v>58</v>
      </c>
      <c r="E9" s="25">
        <v>1</v>
      </c>
      <c r="F9" s="25">
        <v>2</v>
      </c>
      <c r="G9" s="14">
        <v>2</v>
      </c>
      <c r="H9" s="18">
        <f t="shared" ref="H9:H22" si="0">58.88*G9</f>
        <v>117.76</v>
      </c>
      <c r="I9" s="18">
        <f t="shared" ref="I9:I22" si="1">H9*1.06</f>
        <v>124.82560000000001</v>
      </c>
      <c r="J9" s="18">
        <f t="shared" ref="J9:J22" si="2">H9*0.7</f>
        <v>82.432000000000002</v>
      </c>
      <c r="K9" s="18">
        <f t="shared" ref="K9:K23" si="3">J9+I9+H9</f>
        <v>325.01760000000002</v>
      </c>
    </row>
    <row r="10" spans="1:11" x14ac:dyDescent="0.2">
      <c r="A10" s="25">
        <v>2</v>
      </c>
      <c r="B10" s="8" t="s">
        <v>86</v>
      </c>
      <c r="C10" s="9"/>
      <c r="D10" s="25" t="s">
        <v>58</v>
      </c>
      <c r="E10" s="25">
        <v>1.5</v>
      </c>
      <c r="F10" s="25">
        <v>2</v>
      </c>
      <c r="G10" s="14">
        <v>3</v>
      </c>
      <c r="H10" s="18">
        <f t="shared" si="0"/>
        <v>176.64000000000001</v>
      </c>
      <c r="I10" s="18">
        <f t="shared" si="1"/>
        <v>187.23840000000001</v>
      </c>
      <c r="J10" s="18">
        <f t="shared" si="2"/>
        <v>123.648</v>
      </c>
      <c r="K10" s="18">
        <f t="shared" si="3"/>
        <v>487.52639999999997</v>
      </c>
    </row>
    <row r="11" spans="1:11" ht="24.75" customHeight="1" x14ac:dyDescent="0.2">
      <c r="A11" s="25">
        <v>3</v>
      </c>
      <c r="B11" s="316" t="s">
        <v>87</v>
      </c>
      <c r="C11" s="292"/>
      <c r="D11" s="25" t="s">
        <v>58</v>
      </c>
      <c r="E11" s="25">
        <v>3</v>
      </c>
      <c r="F11" s="25">
        <v>3</v>
      </c>
      <c r="G11" s="14">
        <v>9</v>
      </c>
      <c r="H11" s="18">
        <f t="shared" si="0"/>
        <v>529.92000000000007</v>
      </c>
      <c r="I11" s="18">
        <f t="shared" si="1"/>
        <v>561.7152000000001</v>
      </c>
      <c r="J11" s="18">
        <f t="shared" si="2"/>
        <v>370.94400000000002</v>
      </c>
      <c r="K11" s="18">
        <f t="shared" si="3"/>
        <v>1462.5792000000001</v>
      </c>
    </row>
    <row r="12" spans="1:11" ht="26.25" customHeight="1" x14ac:dyDescent="0.2">
      <c r="A12" s="25">
        <v>4</v>
      </c>
      <c r="B12" s="316" t="s">
        <v>88</v>
      </c>
      <c r="C12" s="292"/>
      <c r="D12" s="25" t="s">
        <v>58</v>
      </c>
      <c r="E12" s="25">
        <v>8</v>
      </c>
      <c r="F12" s="25">
        <v>3</v>
      </c>
      <c r="G12" s="14">
        <v>24</v>
      </c>
      <c r="H12" s="18">
        <f t="shared" si="0"/>
        <v>1413.1200000000001</v>
      </c>
      <c r="I12" s="18">
        <f t="shared" si="1"/>
        <v>1497.9072000000001</v>
      </c>
      <c r="J12" s="18">
        <f t="shared" si="2"/>
        <v>989.18399999999997</v>
      </c>
      <c r="K12" s="18">
        <f t="shared" si="3"/>
        <v>3900.2111999999997</v>
      </c>
    </row>
    <row r="13" spans="1:11" x14ac:dyDescent="0.2">
      <c r="A13" s="25">
        <v>5</v>
      </c>
      <c r="B13" s="8" t="s">
        <v>89</v>
      </c>
      <c r="C13" s="9"/>
      <c r="D13" s="25" t="s">
        <v>58</v>
      </c>
      <c r="E13" s="25">
        <v>4</v>
      </c>
      <c r="F13" s="25">
        <v>3</v>
      </c>
      <c r="G13" s="14">
        <v>12</v>
      </c>
      <c r="H13" s="18">
        <f t="shared" si="0"/>
        <v>706.56000000000006</v>
      </c>
      <c r="I13" s="18">
        <f t="shared" si="1"/>
        <v>748.95360000000005</v>
      </c>
      <c r="J13" s="18">
        <f t="shared" si="2"/>
        <v>494.59199999999998</v>
      </c>
      <c r="K13" s="18">
        <f t="shared" si="3"/>
        <v>1950.1055999999999</v>
      </c>
    </row>
    <row r="14" spans="1:11" x14ac:dyDescent="0.2">
      <c r="A14" s="25">
        <v>6</v>
      </c>
      <c r="B14" s="8" t="s">
        <v>90</v>
      </c>
      <c r="C14" s="9"/>
      <c r="D14" s="25" t="s">
        <v>58</v>
      </c>
      <c r="E14" s="25">
        <v>4</v>
      </c>
      <c r="F14" s="25">
        <v>2</v>
      </c>
      <c r="G14" s="14">
        <v>8</v>
      </c>
      <c r="H14" s="18">
        <f t="shared" si="0"/>
        <v>471.04</v>
      </c>
      <c r="I14" s="18">
        <f t="shared" si="1"/>
        <v>499.30240000000003</v>
      </c>
      <c r="J14" s="18">
        <f t="shared" si="2"/>
        <v>329.72800000000001</v>
      </c>
      <c r="K14" s="18">
        <f t="shared" si="3"/>
        <v>1300.0704000000001</v>
      </c>
    </row>
    <row r="15" spans="1:11" s="63" customFormat="1" ht="22.5" x14ac:dyDescent="0.2">
      <c r="A15" s="47">
        <v>7</v>
      </c>
      <c r="B15" s="60" t="s">
        <v>91</v>
      </c>
      <c r="C15" s="61"/>
      <c r="D15" s="47" t="s">
        <v>92</v>
      </c>
      <c r="E15" s="48" t="s">
        <v>93</v>
      </c>
      <c r="F15" s="47">
        <v>2</v>
      </c>
      <c r="G15" s="46">
        <v>9.5</v>
      </c>
      <c r="H15" s="62">
        <f t="shared" si="0"/>
        <v>559.36</v>
      </c>
      <c r="I15" s="62">
        <f t="shared" si="1"/>
        <v>592.92160000000001</v>
      </c>
      <c r="J15" s="62">
        <f t="shared" si="2"/>
        <v>391.55199999999996</v>
      </c>
      <c r="K15" s="62">
        <f t="shared" si="3"/>
        <v>1543.8335999999999</v>
      </c>
    </row>
    <row r="16" spans="1:11" x14ac:dyDescent="0.2">
      <c r="A16" s="25">
        <v>8</v>
      </c>
      <c r="B16" s="8" t="s">
        <v>94</v>
      </c>
      <c r="C16" s="9"/>
      <c r="D16" s="25" t="s">
        <v>58</v>
      </c>
      <c r="E16" s="25">
        <v>3</v>
      </c>
      <c r="F16" s="25">
        <v>2</v>
      </c>
      <c r="G16" s="14">
        <v>6</v>
      </c>
      <c r="H16" s="18">
        <f t="shared" si="0"/>
        <v>353.28000000000003</v>
      </c>
      <c r="I16" s="18">
        <f t="shared" si="1"/>
        <v>374.47680000000003</v>
      </c>
      <c r="J16" s="18">
        <f t="shared" si="2"/>
        <v>247.29599999999999</v>
      </c>
      <c r="K16" s="18">
        <f t="shared" si="3"/>
        <v>975.05279999999993</v>
      </c>
    </row>
    <row r="17" spans="1:13" x14ac:dyDescent="0.2">
      <c r="A17" s="25">
        <v>9</v>
      </c>
      <c r="B17" s="8" t="s">
        <v>95</v>
      </c>
      <c r="C17" s="9"/>
      <c r="D17" s="25" t="s">
        <v>58</v>
      </c>
      <c r="E17" s="25">
        <v>1</v>
      </c>
      <c r="F17" s="25">
        <v>2</v>
      </c>
      <c r="G17" s="14">
        <v>2</v>
      </c>
      <c r="H17" s="18">
        <f t="shared" si="0"/>
        <v>117.76</v>
      </c>
      <c r="I17" s="18">
        <f t="shared" si="1"/>
        <v>124.82560000000001</v>
      </c>
      <c r="J17" s="18">
        <f t="shared" si="2"/>
        <v>82.432000000000002</v>
      </c>
      <c r="K17" s="18">
        <f t="shared" si="3"/>
        <v>325.01760000000002</v>
      </c>
    </row>
    <row r="18" spans="1:13" ht="11.25" customHeight="1" x14ac:dyDescent="0.2">
      <c r="A18" s="25">
        <v>10</v>
      </c>
      <c r="B18" s="8" t="s">
        <v>96</v>
      </c>
      <c r="C18" s="9"/>
      <c r="D18" s="25" t="s">
        <v>58</v>
      </c>
      <c r="E18" s="25">
        <v>3.4</v>
      </c>
      <c r="F18" s="25">
        <v>2</v>
      </c>
      <c r="G18" s="14">
        <v>6.8</v>
      </c>
      <c r="H18" s="18">
        <f t="shared" si="0"/>
        <v>400.38400000000001</v>
      </c>
      <c r="I18" s="18">
        <f t="shared" si="1"/>
        <v>424.40704000000005</v>
      </c>
      <c r="J18" s="18">
        <f t="shared" si="2"/>
        <v>280.2688</v>
      </c>
      <c r="K18" s="18">
        <f t="shared" si="3"/>
        <v>1105.0598400000001</v>
      </c>
    </row>
    <row r="19" spans="1:13" ht="39.75" customHeight="1" x14ac:dyDescent="0.2">
      <c r="A19" s="25">
        <v>11</v>
      </c>
      <c r="B19" s="317" t="s">
        <v>97</v>
      </c>
      <c r="C19" s="318"/>
      <c r="D19" s="25" t="s">
        <v>98</v>
      </c>
      <c r="E19" s="48" t="s">
        <v>99</v>
      </c>
      <c r="F19" s="25">
        <v>2</v>
      </c>
      <c r="G19" s="14">
        <v>104.8</v>
      </c>
      <c r="H19" s="18">
        <f t="shared" si="0"/>
        <v>6170.6239999999998</v>
      </c>
      <c r="I19" s="18">
        <f t="shared" si="1"/>
        <v>6540.8614399999997</v>
      </c>
      <c r="J19" s="18">
        <f t="shared" si="2"/>
        <v>4319.4367999999995</v>
      </c>
      <c r="K19" s="18">
        <f t="shared" si="3"/>
        <v>17030.92224</v>
      </c>
    </row>
    <row r="20" spans="1:13" ht="24" customHeight="1" x14ac:dyDescent="0.2">
      <c r="A20" s="25">
        <v>12</v>
      </c>
      <c r="B20" s="317" t="s">
        <v>100</v>
      </c>
      <c r="C20" s="319"/>
      <c r="D20" s="25" t="s">
        <v>58</v>
      </c>
      <c r="E20" s="25">
        <v>0.4</v>
      </c>
      <c r="F20" s="25">
        <v>1</v>
      </c>
      <c r="G20" s="14">
        <v>0.4</v>
      </c>
      <c r="H20" s="18">
        <f t="shared" si="0"/>
        <v>23.552000000000003</v>
      </c>
      <c r="I20" s="18">
        <f t="shared" si="1"/>
        <v>24.965120000000006</v>
      </c>
      <c r="J20" s="18">
        <f t="shared" si="2"/>
        <v>16.4864</v>
      </c>
      <c r="K20" s="18">
        <f t="shared" si="3"/>
        <v>65.003520000000009</v>
      </c>
    </row>
    <row r="21" spans="1:13" ht="25.5" customHeight="1" x14ac:dyDescent="0.2">
      <c r="A21" s="25">
        <v>13</v>
      </c>
      <c r="B21" s="316" t="s">
        <v>101</v>
      </c>
      <c r="C21" s="292"/>
      <c r="D21" s="25" t="s">
        <v>58</v>
      </c>
      <c r="E21" s="25">
        <v>0.25</v>
      </c>
      <c r="F21" s="25">
        <v>2</v>
      </c>
      <c r="G21" s="14">
        <f>E21*F21</f>
        <v>0.5</v>
      </c>
      <c r="H21" s="18">
        <f t="shared" si="0"/>
        <v>29.44</v>
      </c>
      <c r="I21" s="18">
        <f t="shared" si="1"/>
        <v>31.206400000000002</v>
      </c>
      <c r="J21" s="18">
        <f t="shared" si="2"/>
        <v>20.608000000000001</v>
      </c>
      <c r="K21" s="18">
        <f t="shared" si="3"/>
        <v>81.254400000000004</v>
      </c>
    </row>
    <row r="22" spans="1:13" x14ac:dyDescent="0.2">
      <c r="A22" s="25">
        <v>14</v>
      </c>
      <c r="B22" s="317" t="s">
        <v>102</v>
      </c>
      <c r="C22" s="319"/>
      <c r="D22" s="25" t="s">
        <v>58</v>
      </c>
      <c r="E22" s="25">
        <v>6</v>
      </c>
      <c r="F22" s="25">
        <v>2</v>
      </c>
      <c r="G22" s="14">
        <f>E22*F22</f>
        <v>12</v>
      </c>
      <c r="H22" s="18">
        <f t="shared" si="0"/>
        <v>706.56000000000006</v>
      </c>
      <c r="I22" s="18">
        <f t="shared" si="1"/>
        <v>748.95360000000005</v>
      </c>
      <c r="J22" s="18">
        <f t="shared" si="2"/>
        <v>494.59199999999998</v>
      </c>
      <c r="K22" s="18">
        <f t="shared" si="3"/>
        <v>1950.1055999999999</v>
      </c>
    </row>
    <row r="23" spans="1:13" x14ac:dyDescent="0.2">
      <c r="A23" s="21"/>
      <c r="B23" s="289" t="s">
        <v>143</v>
      </c>
      <c r="C23" s="322"/>
      <c r="D23" s="22"/>
      <c r="E23" s="21"/>
      <c r="F23" s="21"/>
      <c r="G23" s="22">
        <f>SUM(G9:G22)</f>
        <v>200</v>
      </c>
      <c r="H23" s="78">
        <f>SUM(H9:H22)</f>
        <v>11776</v>
      </c>
      <c r="I23" s="23">
        <f>SUM(I9:I22)</f>
        <v>12482.560000000001</v>
      </c>
      <c r="J23" s="23">
        <f>SUM(J9:J22)</f>
        <v>8243.1999999999989</v>
      </c>
      <c r="K23" s="23">
        <f t="shared" si="3"/>
        <v>32501.760000000002</v>
      </c>
      <c r="L23" s="71"/>
    </row>
    <row r="24" spans="1:13" x14ac:dyDescent="0.2">
      <c r="A24" s="262"/>
      <c r="B24" s="265" t="s">
        <v>46</v>
      </c>
      <c r="C24" s="323"/>
      <c r="D24" s="262"/>
      <c r="E24" s="262"/>
      <c r="F24" s="262"/>
      <c r="G24" s="14">
        <f>G23*1.15</f>
        <v>229.99999999999997</v>
      </c>
      <c r="H24" s="27">
        <f>G24*58.88</f>
        <v>13542.4</v>
      </c>
      <c r="I24" s="27">
        <f>H24*1.06</f>
        <v>14354.944</v>
      </c>
      <c r="J24" s="27">
        <f>H24*0.7</f>
        <v>9479.6799999999985</v>
      </c>
      <c r="K24" s="42">
        <f>K23*1.15</f>
        <v>37377.023999999998</v>
      </c>
      <c r="L24" s="71"/>
    </row>
    <row r="25" spans="1:13" x14ac:dyDescent="0.2">
      <c r="A25" s="280"/>
      <c r="B25" s="270" t="s">
        <v>47</v>
      </c>
      <c r="C25" s="324"/>
      <c r="D25" s="280"/>
      <c r="E25" s="280"/>
      <c r="F25" s="280"/>
      <c r="G25" s="15"/>
      <c r="H25" s="29"/>
      <c r="I25" s="29"/>
      <c r="J25" s="29"/>
      <c r="K25" s="29"/>
      <c r="M25">
        <f>G24/8</f>
        <v>28.749999999999996</v>
      </c>
    </row>
    <row r="26" spans="1:13" x14ac:dyDescent="0.2">
      <c r="A26" s="281"/>
      <c r="B26" s="282" t="s">
        <v>48</v>
      </c>
      <c r="C26" s="296"/>
      <c r="D26" s="281"/>
      <c r="E26" s="281"/>
      <c r="F26" s="281"/>
      <c r="G26" s="16"/>
      <c r="H26" s="28"/>
      <c r="I26" s="28"/>
      <c r="J26" s="28"/>
      <c r="K26" s="28"/>
    </row>
    <row r="27" spans="1:13" ht="24" customHeight="1" x14ac:dyDescent="0.2">
      <c r="A27" s="20"/>
      <c r="B27" s="283" t="s">
        <v>187</v>
      </c>
      <c r="C27" s="325"/>
      <c r="D27" s="43"/>
      <c r="E27" s="20"/>
      <c r="F27" s="20"/>
      <c r="G27" s="20"/>
      <c r="H27" s="40"/>
      <c r="I27" s="41"/>
      <c r="J27" s="13"/>
      <c r="K27" s="28">
        <f>K24*5/100</f>
        <v>1868.8512000000001</v>
      </c>
    </row>
    <row r="28" spans="1:13" ht="25.5" customHeight="1" x14ac:dyDescent="0.2">
      <c r="A28" s="20"/>
      <c r="B28" s="283" t="s">
        <v>185</v>
      </c>
      <c r="C28" s="332"/>
      <c r="D28" s="43"/>
      <c r="E28" s="20"/>
      <c r="F28" s="20"/>
      <c r="G28" s="20"/>
      <c r="H28" s="40"/>
      <c r="I28" s="41"/>
      <c r="J28" s="13"/>
      <c r="K28" s="28">
        <f>K27*0.14</f>
        <v>261.63916800000004</v>
      </c>
    </row>
    <row r="29" spans="1:13" x14ac:dyDescent="0.2">
      <c r="A29" s="20"/>
      <c r="B29" s="293" t="s">
        <v>49</v>
      </c>
      <c r="C29" s="326"/>
      <c r="D29" s="20" t="s">
        <v>121</v>
      </c>
      <c r="E29" s="20"/>
      <c r="F29" s="20"/>
      <c r="G29" s="35">
        <v>29</v>
      </c>
      <c r="H29" s="294" t="s">
        <v>193</v>
      </c>
      <c r="I29" s="330"/>
      <c r="J29" s="331"/>
      <c r="K29" s="18">
        <f>29*350</f>
        <v>10150</v>
      </c>
    </row>
    <row r="30" spans="1:13" x14ac:dyDescent="0.2">
      <c r="A30" s="20"/>
      <c r="B30" s="282" t="s">
        <v>50</v>
      </c>
      <c r="C30" s="296"/>
      <c r="D30" s="20" t="s">
        <v>51</v>
      </c>
      <c r="E30" s="20"/>
      <c r="F30" s="20"/>
      <c r="G30" s="20">
        <v>2</v>
      </c>
      <c r="H30" s="327" t="s">
        <v>123</v>
      </c>
      <c r="I30" s="328"/>
      <c r="J30" s="329"/>
      <c r="K30" s="28">
        <v>5472</v>
      </c>
    </row>
    <row r="31" spans="1:13" x14ac:dyDescent="0.2">
      <c r="A31" s="20"/>
      <c r="B31" s="334" t="s">
        <v>142</v>
      </c>
      <c r="C31" s="335"/>
      <c r="D31" s="37"/>
      <c r="E31" s="37"/>
      <c r="F31" s="37"/>
      <c r="G31" s="38"/>
      <c r="H31" s="39"/>
      <c r="I31" s="39"/>
      <c r="J31" s="39"/>
      <c r="K31" s="39">
        <f>SUM(K24:K30)</f>
        <v>55129.514367999996</v>
      </c>
    </row>
    <row r="32" spans="1:13" x14ac:dyDescent="0.2">
      <c r="A32" s="19"/>
      <c r="B32" s="290" t="s">
        <v>196</v>
      </c>
      <c r="C32" s="336"/>
      <c r="D32" s="19"/>
      <c r="E32" s="19"/>
      <c r="F32" s="19"/>
      <c r="G32" s="19"/>
      <c r="H32" s="18"/>
      <c r="I32" s="18"/>
      <c r="J32" s="18"/>
      <c r="K32" s="33">
        <f>K31*4</f>
        <v>220518.05747199999</v>
      </c>
    </row>
    <row r="33" spans="1:11" x14ac:dyDescent="0.2">
      <c r="A33" s="58"/>
      <c r="B33" s="67"/>
      <c r="C33" s="67"/>
      <c r="D33" s="55"/>
      <c r="E33" s="55"/>
      <c r="F33" s="55"/>
      <c r="G33" s="68"/>
      <c r="H33" s="84"/>
      <c r="I33" s="84"/>
      <c r="J33" s="84"/>
      <c r="K33" s="84"/>
    </row>
    <row r="34" spans="1:11" x14ac:dyDescent="0.2">
      <c r="A34" s="300" t="s">
        <v>74</v>
      </c>
      <c r="B34" s="337"/>
      <c r="C34" s="337"/>
      <c r="D34" s="337"/>
      <c r="E34" s="337"/>
      <c r="F34" s="272"/>
      <c r="G34" s="272"/>
      <c r="H34" s="84"/>
      <c r="I34" s="84"/>
      <c r="J34" s="84"/>
      <c r="K34" s="84"/>
    </row>
    <row r="35" spans="1:11" x14ac:dyDescent="0.2">
      <c r="A35" s="65"/>
      <c r="B35" s="66" t="s">
        <v>197</v>
      </c>
      <c r="C35" s="66"/>
      <c r="D35" s="66"/>
      <c r="E35" s="66"/>
      <c r="F35" s="55"/>
      <c r="G35" s="55"/>
      <c r="H35" s="84"/>
      <c r="I35" s="84"/>
      <c r="J35" s="84"/>
      <c r="K35" s="84"/>
    </row>
    <row r="36" spans="1:11" x14ac:dyDescent="0.2">
      <c r="A36" s="65"/>
      <c r="B36" s="66"/>
      <c r="C36" s="66"/>
      <c r="D36" s="66"/>
      <c r="E36" s="66"/>
      <c r="F36" s="55"/>
      <c r="G36" s="55"/>
      <c r="H36" s="84"/>
      <c r="I36" s="84"/>
      <c r="J36" s="84"/>
      <c r="K36" s="84"/>
    </row>
    <row r="37" spans="1:11" x14ac:dyDescent="0.2">
      <c r="A37" t="s">
        <v>75</v>
      </c>
      <c r="D37"/>
      <c r="E37"/>
      <c r="F37" t="s">
        <v>76</v>
      </c>
      <c r="H37" s="84"/>
      <c r="I37" s="84"/>
      <c r="J37" s="84"/>
      <c r="K37" s="84"/>
    </row>
    <row r="38" spans="1:11" x14ac:dyDescent="0.2">
      <c r="A38" t="s">
        <v>77</v>
      </c>
      <c r="D38"/>
      <c r="E38"/>
      <c r="F38" t="s">
        <v>79</v>
      </c>
      <c r="H38" s="84"/>
      <c r="I38" s="84"/>
      <c r="J38" s="84"/>
      <c r="K38" s="84"/>
    </row>
    <row r="39" spans="1:11" x14ac:dyDescent="0.2">
      <c r="A39" t="s">
        <v>78</v>
      </c>
      <c r="D39"/>
      <c r="E39"/>
      <c r="F39" t="s">
        <v>80</v>
      </c>
      <c r="H39" s="84"/>
      <c r="I39" s="84"/>
      <c r="J39" s="84"/>
      <c r="K39" s="84"/>
    </row>
    <row r="40" spans="1:11" x14ac:dyDescent="0.2">
      <c r="A40" t="s">
        <v>82</v>
      </c>
      <c r="D40"/>
      <c r="E40"/>
      <c r="F40" t="s">
        <v>81</v>
      </c>
      <c r="H40" s="84"/>
      <c r="I40" s="84"/>
      <c r="J40" s="84"/>
      <c r="K40" s="84"/>
    </row>
    <row r="41" spans="1:11" x14ac:dyDescent="0.2">
      <c r="F41"/>
      <c r="H41" s="84"/>
      <c r="I41" s="84"/>
      <c r="J41" s="84"/>
      <c r="K41" s="84"/>
    </row>
    <row r="42" spans="1:11" x14ac:dyDescent="0.2">
      <c r="H42" s="84"/>
      <c r="I42" s="84"/>
      <c r="J42" s="84"/>
      <c r="K42" s="84"/>
    </row>
    <row r="43" spans="1:11" x14ac:dyDescent="0.2">
      <c r="H43" s="84"/>
      <c r="I43" s="84"/>
      <c r="J43" s="84"/>
      <c r="K43" s="84"/>
    </row>
    <row r="44" spans="1:11" x14ac:dyDescent="0.2">
      <c r="H44" s="84"/>
      <c r="I44" s="84"/>
      <c r="J44" s="84"/>
      <c r="K44" s="84"/>
    </row>
    <row r="45" spans="1:11" x14ac:dyDescent="0.2">
      <c r="H45" s="84"/>
      <c r="I45" s="84"/>
      <c r="J45" s="84"/>
      <c r="K45" s="84"/>
    </row>
    <row r="46" spans="1:11" x14ac:dyDescent="0.2">
      <c r="H46" s="84"/>
      <c r="I46" s="84"/>
      <c r="J46" s="84"/>
      <c r="K46" s="84"/>
    </row>
    <row r="47" spans="1:11" x14ac:dyDescent="0.2">
      <c r="H47" s="84"/>
      <c r="I47" s="85"/>
      <c r="J47" s="85"/>
      <c r="K47" s="85"/>
    </row>
    <row r="48" spans="1:11" x14ac:dyDescent="0.2">
      <c r="H48" s="299"/>
      <c r="I48" s="299"/>
      <c r="J48" s="299"/>
      <c r="K48" s="299"/>
    </row>
    <row r="49" spans="7:11" x14ac:dyDescent="0.2">
      <c r="H49" s="333"/>
      <c r="I49" s="333"/>
      <c r="J49" s="333"/>
      <c r="K49" s="333"/>
    </row>
    <row r="50" spans="7:11" x14ac:dyDescent="0.2">
      <c r="H50" s="299"/>
      <c r="I50" s="299"/>
      <c r="J50" s="299"/>
      <c r="K50" s="299"/>
    </row>
    <row r="51" spans="7:11" x14ac:dyDescent="0.2">
      <c r="H51" s="333"/>
      <c r="I51" s="333"/>
      <c r="J51" s="333"/>
      <c r="K51" s="333"/>
    </row>
    <row r="52" spans="7:11" x14ac:dyDescent="0.2">
      <c r="H52" s="299"/>
      <c r="I52" s="299"/>
      <c r="J52" s="299"/>
      <c r="K52" s="299"/>
    </row>
    <row r="53" spans="7:11" x14ac:dyDescent="0.2">
      <c r="H53" s="333"/>
      <c r="I53" s="333"/>
      <c r="J53" s="333"/>
      <c r="K53" s="333"/>
    </row>
    <row r="54" spans="7:11" x14ac:dyDescent="0.2">
      <c r="H54" s="84"/>
      <c r="I54" s="84"/>
      <c r="J54" s="84"/>
      <c r="K54" s="84"/>
    </row>
    <row r="55" spans="7:11" x14ac:dyDescent="0.2">
      <c r="H55" s="84"/>
      <c r="I55" s="84"/>
      <c r="J55" s="84"/>
      <c r="K55" s="56"/>
    </row>
    <row r="56" spans="7:11" x14ac:dyDescent="0.2">
      <c r="G56" s="54"/>
      <c r="H56" s="121"/>
      <c r="I56" s="121"/>
      <c r="J56" s="121"/>
      <c r="K56" s="121"/>
    </row>
    <row r="57" spans="7:11" x14ac:dyDescent="0.2">
      <c r="H57" s="84"/>
      <c r="I57" s="84"/>
      <c r="J57" s="84"/>
      <c r="K57" s="84"/>
    </row>
    <row r="58" spans="7:11" x14ac:dyDescent="0.2">
      <c r="H58" s="84"/>
      <c r="I58" s="84"/>
      <c r="J58" s="84"/>
      <c r="K58" s="84"/>
    </row>
    <row r="59" spans="7:11" x14ac:dyDescent="0.2">
      <c r="H59" s="84"/>
      <c r="I59" s="84"/>
      <c r="J59" s="84"/>
      <c r="K59" s="84"/>
    </row>
    <row r="60" spans="7:11" x14ac:dyDescent="0.2">
      <c r="H60" s="84"/>
      <c r="I60" s="84"/>
      <c r="J60" s="84"/>
      <c r="K60" s="56"/>
    </row>
    <row r="61" spans="7:11" x14ac:dyDescent="0.2">
      <c r="H61" s="70"/>
      <c r="I61" s="70"/>
      <c r="J61" s="70"/>
      <c r="K61" s="70"/>
    </row>
    <row r="62" spans="7:11" x14ac:dyDescent="0.2">
      <c r="H62" s="70"/>
      <c r="I62" s="70"/>
      <c r="J62" s="70"/>
      <c r="K62" s="70"/>
    </row>
    <row r="63" spans="7:11" x14ac:dyDescent="0.2">
      <c r="H63" s="70"/>
      <c r="I63" s="70"/>
      <c r="J63" s="70"/>
      <c r="K63" s="70"/>
    </row>
  </sheetData>
  <mergeCells count="43">
    <mergeCell ref="K50:K51"/>
    <mergeCell ref="H50:H51"/>
    <mergeCell ref="I48:I49"/>
    <mergeCell ref="B27:C27"/>
    <mergeCell ref="B28:C28"/>
    <mergeCell ref="B30:C30"/>
    <mergeCell ref="J48:J49"/>
    <mergeCell ref="K48:K49"/>
    <mergeCell ref="H48:H49"/>
    <mergeCell ref="H52:H53"/>
    <mergeCell ref="I52:I53"/>
    <mergeCell ref="J52:J53"/>
    <mergeCell ref="B23:C23"/>
    <mergeCell ref="F24:F26"/>
    <mergeCell ref="B29:C29"/>
    <mergeCell ref="E24:E26"/>
    <mergeCell ref="B25:C25"/>
    <mergeCell ref="B26:C26"/>
    <mergeCell ref="F34:G34"/>
    <mergeCell ref="J50:J51"/>
    <mergeCell ref="K52:K53"/>
    <mergeCell ref="H30:J30"/>
    <mergeCell ref="I50:I51"/>
    <mergeCell ref="A3:K3"/>
    <mergeCell ref="A5:A8"/>
    <mergeCell ref="B5:C8"/>
    <mergeCell ref="D5:D8"/>
    <mergeCell ref="E5:E8"/>
    <mergeCell ref="H29:J29"/>
    <mergeCell ref="B31:C31"/>
    <mergeCell ref="B32:C32"/>
    <mergeCell ref="F5:F8"/>
    <mergeCell ref="G5:G8"/>
    <mergeCell ref="B24:C24"/>
    <mergeCell ref="D24:D26"/>
    <mergeCell ref="A34:E34"/>
    <mergeCell ref="A24:A26"/>
    <mergeCell ref="B11:C11"/>
    <mergeCell ref="B12:C12"/>
    <mergeCell ref="B19:C19"/>
    <mergeCell ref="B20:C20"/>
    <mergeCell ref="B21:C21"/>
    <mergeCell ref="B22:C22"/>
  </mergeCells>
  <phoneticPr fontId="3" type="noConversion"/>
  <pageMargins left="0.19685039370078741" right="0.19685039370078741" top="0.19685039370078741" bottom="0.19685039370078741" header="0" footer="0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69"/>
  <sheetViews>
    <sheetView topLeftCell="A50" workbookViewId="0">
      <selection activeCell="F67" sqref="F67"/>
    </sheetView>
  </sheetViews>
  <sheetFormatPr defaultRowHeight="12.75" x14ac:dyDescent="0.2"/>
  <cols>
    <col min="1" max="1" width="4" style="34" customWidth="1"/>
    <col min="3" max="3" width="25.85546875" customWidth="1"/>
    <col min="4" max="5" width="7.7109375" style="34" customWidth="1"/>
    <col min="6" max="6" width="11" style="34" customWidth="1"/>
    <col min="7" max="7" width="8" customWidth="1"/>
    <col min="8" max="8" width="9.5703125" customWidth="1"/>
    <col min="9" max="9" width="7.85546875" customWidth="1"/>
    <col min="11" max="11" width="8.28515625" customWidth="1"/>
    <col min="13" max="13" width="9.5703125" bestFit="1" customWidth="1"/>
  </cols>
  <sheetData>
    <row r="1" spans="1:17" x14ac:dyDescent="0.2">
      <c r="A1"/>
      <c r="D1"/>
      <c r="E1"/>
      <c r="F1"/>
      <c r="H1" t="s">
        <v>83</v>
      </c>
      <c r="K1" t="s">
        <v>83</v>
      </c>
    </row>
    <row r="2" spans="1:17" x14ac:dyDescent="0.2">
      <c r="A2"/>
      <c r="D2"/>
      <c r="E2"/>
      <c r="F2"/>
    </row>
    <row r="3" spans="1:17" x14ac:dyDescent="0.2">
      <c r="A3" s="272" t="s">
        <v>104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58"/>
      <c r="O3" s="58"/>
      <c r="P3" s="58"/>
      <c r="Q3" s="58"/>
    </row>
    <row r="4" spans="1:17" x14ac:dyDescent="0.2">
      <c r="A4" s="55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</row>
    <row r="5" spans="1:17" ht="12.75" customHeight="1" x14ac:dyDescent="0.2">
      <c r="A5" s="274" t="s">
        <v>52</v>
      </c>
      <c r="B5" s="275" t="s">
        <v>0</v>
      </c>
      <c r="C5" s="311"/>
      <c r="D5" s="274" t="s">
        <v>53</v>
      </c>
      <c r="E5" s="274" t="s">
        <v>105</v>
      </c>
      <c r="F5" s="274" t="s">
        <v>106</v>
      </c>
      <c r="G5" s="274" t="s">
        <v>55</v>
      </c>
      <c r="H5" s="274" t="s">
        <v>56</v>
      </c>
      <c r="I5" s="1" t="s">
        <v>1</v>
      </c>
      <c r="J5" s="1" t="s">
        <v>10</v>
      </c>
      <c r="K5" s="1" t="s">
        <v>3</v>
      </c>
      <c r="L5" s="1" t="s">
        <v>6</v>
      </c>
      <c r="M5" s="1" t="s">
        <v>8</v>
      </c>
    </row>
    <row r="6" spans="1:17" x14ac:dyDescent="0.2">
      <c r="A6" s="309"/>
      <c r="B6" s="312"/>
      <c r="C6" s="313"/>
      <c r="D6" s="309"/>
      <c r="E6" s="304"/>
      <c r="F6" s="309"/>
      <c r="G6" s="309"/>
      <c r="H6" s="309"/>
      <c r="I6" s="2" t="s">
        <v>2</v>
      </c>
      <c r="J6" s="2" t="s">
        <v>36</v>
      </c>
      <c r="K6" s="2" t="s">
        <v>4</v>
      </c>
      <c r="L6" s="2" t="s">
        <v>7</v>
      </c>
      <c r="M6" s="2" t="s">
        <v>2</v>
      </c>
    </row>
    <row r="7" spans="1:17" x14ac:dyDescent="0.2">
      <c r="A7" s="309"/>
      <c r="B7" s="312"/>
      <c r="C7" s="313"/>
      <c r="D7" s="309"/>
      <c r="E7" s="304"/>
      <c r="F7" s="309"/>
      <c r="G7" s="309"/>
      <c r="H7" s="309"/>
      <c r="I7" s="2" t="s">
        <v>10</v>
      </c>
      <c r="J7" s="2" t="s">
        <v>37</v>
      </c>
      <c r="K7" s="4">
        <v>0.95</v>
      </c>
      <c r="L7" s="4">
        <v>0.5</v>
      </c>
      <c r="M7" s="5"/>
    </row>
    <row r="8" spans="1:17" ht="21" customHeight="1" x14ac:dyDescent="0.2">
      <c r="A8" s="310"/>
      <c r="B8" s="314"/>
      <c r="C8" s="315"/>
      <c r="D8" s="310"/>
      <c r="E8" s="64"/>
      <c r="F8" s="310"/>
      <c r="G8" s="310"/>
      <c r="H8" s="310"/>
      <c r="I8" s="7">
        <v>0.15</v>
      </c>
      <c r="J8" s="7">
        <v>0.26</v>
      </c>
      <c r="K8" s="3" t="s">
        <v>5</v>
      </c>
      <c r="L8" s="3" t="s">
        <v>5</v>
      </c>
      <c r="M8" s="6"/>
    </row>
    <row r="9" spans="1:17" x14ac:dyDescent="0.2">
      <c r="A9" s="25">
        <v>1</v>
      </c>
      <c r="B9" s="8" t="s">
        <v>9</v>
      </c>
      <c r="C9" s="9"/>
      <c r="D9" s="25" t="s">
        <v>58</v>
      </c>
      <c r="E9" s="25">
        <v>12</v>
      </c>
      <c r="F9" s="25">
        <v>0.05</v>
      </c>
      <c r="G9" s="14">
        <v>2</v>
      </c>
      <c r="H9" s="14">
        <f>F9*E9</f>
        <v>0.60000000000000009</v>
      </c>
      <c r="I9" s="18">
        <f>H9*51.69</f>
        <v>31.014000000000003</v>
      </c>
      <c r="J9" s="18">
        <f>I9*1.26</f>
        <v>39.077640000000002</v>
      </c>
      <c r="K9" s="18">
        <f>I9*0.95</f>
        <v>29.4633</v>
      </c>
      <c r="L9" s="18">
        <f>I9*0.5</f>
        <v>15.507000000000001</v>
      </c>
      <c r="M9" s="18">
        <f>J9+K9+L9</f>
        <v>84.047940000000011</v>
      </c>
      <c r="P9" s="59"/>
    </row>
    <row r="10" spans="1:17" x14ac:dyDescent="0.2">
      <c r="A10" s="25">
        <v>2</v>
      </c>
      <c r="B10" s="8" t="s">
        <v>11</v>
      </c>
      <c r="C10" s="9"/>
      <c r="D10" s="25" t="s">
        <v>58</v>
      </c>
      <c r="E10" s="25">
        <v>12</v>
      </c>
      <c r="F10" s="25">
        <v>0.05</v>
      </c>
      <c r="G10" s="14">
        <v>2</v>
      </c>
      <c r="H10" s="14">
        <f>F10*E10</f>
        <v>0.60000000000000009</v>
      </c>
      <c r="I10" s="18">
        <f>H10*51.69</f>
        <v>31.014000000000003</v>
      </c>
      <c r="J10" s="18">
        <f t="shared" ref="J10:J51" si="0">I10*1.26</f>
        <v>39.077640000000002</v>
      </c>
      <c r="K10" s="18">
        <f>I10*0.95</f>
        <v>29.4633</v>
      </c>
      <c r="L10" s="18">
        <f>I10*0.5</f>
        <v>15.507000000000001</v>
      </c>
      <c r="M10" s="18">
        <f>J10+K10+L10</f>
        <v>84.047940000000011</v>
      </c>
      <c r="P10" s="59"/>
    </row>
    <row r="11" spans="1:17" x14ac:dyDescent="0.2">
      <c r="A11" s="25">
        <v>3</v>
      </c>
      <c r="B11" s="8" t="s">
        <v>12</v>
      </c>
      <c r="C11" s="9"/>
      <c r="D11" s="25" t="s">
        <v>58</v>
      </c>
      <c r="E11" s="25">
        <v>24</v>
      </c>
      <c r="F11" s="25">
        <v>0.6</v>
      </c>
      <c r="G11" s="14">
        <v>2</v>
      </c>
      <c r="H11" s="14">
        <f>F11*E11</f>
        <v>14.399999999999999</v>
      </c>
      <c r="I11" s="27">
        <f>H11*51.69</f>
        <v>744.3359999999999</v>
      </c>
      <c r="J11" s="27">
        <f>I11*1.26</f>
        <v>937.86335999999983</v>
      </c>
      <c r="K11" s="27">
        <f>I11*0.95</f>
        <v>707.11919999999986</v>
      </c>
      <c r="L11" s="27">
        <f>I11*0.5</f>
        <v>372.16799999999995</v>
      </c>
      <c r="M11" s="27">
        <f>J11+K11+L11</f>
        <v>2017.1505599999996</v>
      </c>
      <c r="P11" s="59"/>
    </row>
    <row r="12" spans="1:17" x14ac:dyDescent="0.2">
      <c r="A12" s="26"/>
      <c r="B12" s="10" t="s">
        <v>13</v>
      </c>
      <c r="C12" s="11"/>
      <c r="D12" s="26"/>
      <c r="E12" s="26"/>
      <c r="F12" s="26"/>
      <c r="G12" s="15"/>
      <c r="H12" s="15"/>
      <c r="I12" s="28"/>
      <c r="J12" s="28"/>
      <c r="K12" s="28"/>
      <c r="L12" s="28"/>
      <c r="M12" s="28"/>
      <c r="P12" s="70"/>
    </row>
    <row r="13" spans="1:17" x14ac:dyDescent="0.2">
      <c r="A13" s="25">
        <v>4</v>
      </c>
      <c r="B13" s="8" t="s">
        <v>14</v>
      </c>
      <c r="C13" s="9"/>
      <c r="D13" s="25" t="s">
        <v>58</v>
      </c>
      <c r="E13" s="25">
        <v>24</v>
      </c>
      <c r="F13" s="25">
        <v>0.8</v>
      </c>
      <c r="G13" s="14">
        <v>2</v>
      </c>
      <c r="H13" s="14">
        <f>F13*E13</f>
        <v>19.200000000000003</v>
      </c>
      <c r="I13" s="27">
        <f>H13*51.69</f>
        <v>992.44800000000009</v>
      </c>
      <c r="J13" s="27">
        <f t="shared" si="0"/>
        <v>1250.4844800000001</v>
      </c>
      <c r="K13" s="27">
        <f>I13*0.95</f>
        <v>942.82560000000001</v>
      </c>
      <c r="L13" s="27">
        <f>I13*0.5</f>
        <v>496.22400000000005</v>
      </c>
      <c r="M13" s="27">
        <f>J13+K13+L13</f>
        <v>2689.5340800000004</v>
      </c>
      <c r="P13" s="70"/>
    </row>
    <row r="14" spans="1:17" x14ac:dyDescent="0.2">
      <c r="A14" s="26"/>
      <c r="B14" s="10" t="s">
        <v>112</v>
      </c>
      <c r="C14" s="11"/>
      <c r="D14" s="26"/>
      <c r="E14" s="26"/>
      <c r="F14" s="26"/>
      <c r="G14" s="15"/>
      <c r="H14" s="15"/>
      <c r="I14" s="29"/>
      <c r="J14" s="29"/>
      <c r="K14" s="29"/>
      <c r="L14" s="29"/>
      <c r="M14" s="29"/>
    </row>
    <row r="15" spans="1:17" x14ac:dyDescent="0.2">
      <c r="A15" s="26"/>
      <c r="B15" s="10" t="s">
        <v>111</v>
      </c>
      <c r="C15" s="11"/>
      <c r="D15" s="26"/>
      <c r="E15" s="26"/>
      <c r="F15" s="26"/>
      <c r="G15" s="15"/>
      <c r="H15" s="15"/>
      <c r="I15" s="28"/>
      <c r="J15" s="28"/>
      <c r="K15" s="28"/>
      <c r="L15" s="28"/>
      <c r="M15" s="28"/>
    </row>
    <row r="16" spans="1:17" x14ac:dyDescent="0.2">
      <c r="A16" s="25">
        <v>5</v>
      </c>
      <c r="B16" s="8" t="s">
        <v>16</v>
      </c>
      <c r="C16" s="9"/>
      <c r="D16" s="25" t="s">
        <v>58</v>
      </c>
      <c r="E16" s="25">
        <v>12</v>
      </c>
      <c r="F16" s="25">
        <v>0.7</v>
      </c>
      <c r="G16" s="14">
        <v>2</v>
      </c>
      <c r="H16" s="14">
        <f>F16*E16</f>
        <v>8.3999999999999986</v>
      </c>
      <c r="I16" s="27">
        <f>H16*51.69</f>
        <v>434.19599999999991</v>
      </c>
      <c r="J16" s="27">
        <f t="shared" si="0"/>
        <v>547.08695999999986</v>
      </c>
      <c r="K16" s="27">
        <f>I16*0.95</f>
        <v>412.48619999999988</v>
      </c>
      <c r="L16" s="27">
        <f>I16*0.5</f>
        <v>217.09799999999996</v>
      </c>
      <c r="M16" s="27">
        <f>J16+K16+L16</f>
        <v>1176.6711599999996</v>
      </c>
    </row>
    <row r="17" spans="1:13" x14ac:dyDescent="0.2">
      <c r="A17" s="26"/>
      <c r="B17" s="10" t="s">
        <v>17</v>
      </c>
      <c r="C17" s="11"/>
      <c r="D17" s="26"/>
      <c r="E17" s="26"/>
      <c r="F17" s="26"/>
      <c r="G17" s="15"/>
      <c r="H17" s="10"/>
      <c r="I17" s="28"/>
      <c r="J17" s="72"/>
      <c r="K17" s="28"/>
      <c r="L17" s="28"/>
      <c r="M17" s="28"/>
    </row>
    <row r="18" spans="1:13" x14ac:dyDescent="0.2">
      <c r="A18" s="25">
        <v>6</v>
      </c>
      <c r="B18" s="8" t="s">
        <v>18</v>
      </c>
      <c r="C18" s="9"/>
      <c r="D18" s="25" t="s">
        <v>58</v>
      </c>
      <c r="E18" s="25">
        <v>4</v>
      </c>
      <c r="F18" s="25">
        <v>0.1</v>
      </c>
      <c r="G18" s="14">
        <v>2</v>
      </c>
      <c r="H18" s="8">
        <f>F18*E18</f>
        <v>0.4</v>
      </c>
      <c r="I18" s="27">
        <f>H18*51.69</f>
        <v>20.676000000000002</v>
      </c>
      <c r="J18" s="74">
        <f t="shared" si="0"/>
        <v>26.051760000000002</v>
      </c>
      <c r="K18" s="27">
        <f>I18*0.95</f>
        <v>19.642200000000003</v>
      </c>
      <c r="L18" s="27">
        <f>I18*0.5</f>
        <v>10.338000000000001</v>
      </c>
      <c r="M18" s="27">
        <f>J18+K18+L18</f>
        <v>56.031960000000005</v>
      </c>
    </row>
    <row r="19" spans="1:13" x14ac:dyDescent="0.2">
      <c r="A19" s="26"/>
      <c r="B19" s="10" t="s">
        <v>19</v>
      </c>
      <c r="C19" s="11"/>
      <c r="D19" s="26"/>
      <c r="E19" s="26"/>
      <c r="F19" s="26"/>
      <c r="G19" s="15"/>
      <c r="H19" s="10"/>
      <c r="I19" s="28"/>
      <c r="J19" s="72"/>
      <c r="K19" s="28"/>
      <c r="L19" s="28"/>
      <c r="M19" s="28"/>
    </row>
    <row r="20" spans="1:13" x14ac:dyDescent="0.2">
      <c r="A20" s="25">
        <v>7</v>
      </c>
      <c r="B20" s="8" t="s">
        <v>107</v>
      </c>
      <c r="C20" s="9"/>
      <c r="D20" s="25" t="s">
        <v>58</v>
      </c>
      <c r="E20" s="25">
        <v>12</v>
      </c>
      <c r="F20" s="25">
        <v>0.2</v>
      </c>
      <c r="G20" s="14">
        <v>2</v>
      </c>
      <c r="H20" s="14">
        <f>F20*E20</f>
        <v>2.4000000000000004</v>
      </c>
      <c r="I20" s="28">
        <f>H20*51.69</f>
        <v>124.05600000000001</v>
      </c>
      <c r="J20" s="18">
        <f t="shared" si="0"/>
        <v>156.31056000000001</v>
      </c>
      <c r="K20" s="18">
        <f>I20*0.95</f>
        <v>117.8532</v>
      </c>
      <c r="L20" s="18">
        <f>I20*0.5</f>
        <v>62.028000000000006</v>
      </c>
      <c r="M20" s="18">
        <f>J20+K20+L20</f>
        <v>336.19176000000004</v>
      </c>
    </row>
    <row r="21" spans="1:13" x14ac:dyDescent="0.2">
      <c r="A21" s="25">
        <v>8</v>
      </c>
      <c r="B21" s="8" t="s">
        <v>20</v>
      </c>
      <c r="C21" s="9"/>
      <c r="D21" s="25" t="s">
        <v>58</v>
      </c>
      <c r="E21" s="25">
        <v>12</v>
      </c>
      <c r="F21" s="25">
        <v>0.5</v>
      </c>
      <c r="G21" s="14">
        <v>2</v>
      </c>
      <c r="H21" s="14">
        <f>F21*E21</f>
        <v>6</v>
      </c>
      <c r="I21" s="18">
        <f>H21*51.69</f>
        <v>310.14</v>
      </c>
      <c r="J21" s="18">
        <f t="shared" si="0"/>
        <v>390.77639999999997</v>
      </c>
      <c r="K21" s="18">
        <f>I21*0.95</f>
        <v>294.63299999999998</v>
      </c>
      <c r="L21" s="18">
        <f>I21*0.5</f>
        <v>155.07</v>
      </c>
      <c r="M21" s="18">
        <f>J21+K21+L21</f>
        <v>840.47939999999994</v>
      </c>
    </row>
    <row r="22" spans="1:13" x14ac:dyDescent="0.2">
      <c r="A22" s="25">
        <v>9</v>
      </c>
      <c r="B22" s="8" t="s">
        <v>21</v>
      </c>
      <c r="C22" s="9"/>
      <c r="D22" s="25" t="s">
        <v>58</v>
      </c>
      <c r="E22" s="25">
        <v>12</v>
      </c>
      <c r="F22" s="25">
        <v>0.75</v>
      </c>
      <c r="G22" s="14">
        <v>2</v>
      </c>
      <c r="H22" s="14">
        <f>F22*E22</f>
        <v>9</v>
      </c>
      <c r="I22" s="18">
        <f>H22*51.69</f>
        <v>465.21</v>
      </c>
      <c r="J22" s="18">
        <f t="shared" si="0"/>
        <v>586.16459999999995</v>
      </c>
      <c r="K22" s="18">
        <f>I22*0.95</f>
        <v>441.94949999999994</v>
      </c>
      <c r="L22" s="18">
        <f>I22*0.5</f>
        <v>232.60499999999999</v>
      </c>
      <c r="M22" s="18">
        <f>J22+K22+L22</f>
        <v>1260.7190999999998</v>
      </c>
    </row>
    <row r="23" spans="1:13" x14ac:dyDescent="0.2">
      <c r="A23" s="25">
        <v>10</v>
      </c>
      <c r="B23" s="8" t="s">
        <v>109</v>
      </c>
      <c r="C23" s="9"/>
      <c r="D23" s="25" t="s">
        <v>58</v>
      </c>
      <c r="E23" s="25">
        <v>12</v>
      </c>
      <c r="F23" s="25">
        <v>0.3</v>
      </c>
      <c r="G23" s="14">
        <v>2</v>
      </c>
      <c r="H23" s="8">
        <f>F23*E23</f>
        <v>3.5999999999999996</v>
      </c>
      <c r="I23" s="29">
        <f>H23*51.69</f>
        <v>186.08399999999997</v>
      </c>
      <c r="J23" s="74">
        <f t="shared" si="0"/>
        <v>234.46583999999996</v>
      </c>
      <c r="K23" s="27">
        <f>I23*0.95</f>
        <v>176.77979999999997</v>
      </c>
      <c r="L23" s="27">
        <f>I23*0.5</f>
        <v>93.041999999999987</v>
      </c>
      <c r="M23" s="27">
        <f>J23+K23+L23</f>
        <v>504.2876399999999</v>
      </c>
    </row>
    <row r="24" spans="1:13" x14ac:dyDescent="0.2">
      <c r="A24" s="20"/>
      <c r="B24" s="12" t="s">
        <v>108</v>
      </c>
      <c r="C24" s="13"/>
      <c r="D24" s="20"/>
      <c r="E24" s="20"/>
      <c r="F24" s="20"/>
      <c r="G24" s="16"/>
      <c r="H24" s="12"/>
      <c r="I24" s="28"/>
      <c r="J24" s="72"/>
      <c r="K24" s="28"/>
      <c r="L24" s="28"/>
      <c r="M24" s="28"/>
    </row>
    <row r="25" spans="1:13" x14ac:dyDescent="0.2">
      <c r="A25" s="25">
        <v>11</v>
      </c>
      <c r="B25" s="8" t="s">
        <v>110</v>
      </c>
      <c r="C25" s="9"/>
      <c r="D25" s="25" t="s">
        <v>58</v>
      </c>
      <c r="E25" s="25">
        <v>24</v>
      </c>
      <c r="F25" s="25">
        <v>0.3</v>
      </c>
      <c r="G25" s="14">
        <v>2</v>
      </c>
      <c r="H25" s="8">
        <f>F25*E25</f>
        <v>7.1999999999999993</v>
      </c>
      <c r="I25" s="29">
        <f>H25*51.69</f>
        <v>372.16799999999995</v>
      </c>
      <c r="J25" s="74">
        <f t="shared" si="0"/>
        <v>468.93167999999991</v>
      </c>
      <c r="K25" s="27">
        <f>I25*0.95</f>
        <v>353.55959999999993</v>
      </c>
      <c r="L25" s="27">
        <f>I25*0.5</f>
        <v>186.08399999999997</v>
      </c>
      <c r="M25" s="27">
        <f>J25+K25+L25</f>
        <v>1008.5752799999998</v>
      </c>
    </row>
    <row r="26" spans="1:13" x14ac:dyDescent="0.2">
      <c r="A26" s="20"/>
      <c r="B26" s="12" t="s">
        <v>23</v>
      </c>
      <c r="C26" s="13"/>
      <c r="D26" s="20"/>
      <c r="E26" s="20"/>
      <c r="F26" s="20"/>
      <c r="G26" s="16"/>
      <c r="H26" s="12"/>
      <c r="I26" s="28"/>
      <c r="J26" s="72"/>
      <c r="K26" s="28"/>
      <c r="L26" s="28"/>
      <c r="M26" s="28"/>
    </row>
    <row r="27" spans="1:13" x14ac:dyDescent="0.2">
      <c r="A27" s="25">
        <v>12</v>
      </c>
      <c r="B27" s="8" t="s">
        <v>113</v>
      </c>
      <c r="C27" s="9"/>
      <c r="D27" s="25" t="s">
        <v>58</v>
      </c>
      <c r="E27" s="25">
        <v>24</v>
      </c>
      <c r="F27" s="25">
        <v>0.15</v>
      </c>
      <c r="G27" s="14">
        <v>2</v>
      </c>
      <c r="H27" s="14">
        <f>F27*E27</f>
        <v>3.5999999999999996</v>
      </c>
      <c r="I27" s="29">
        <f>H27*51.69</f>
        <v>186.08399999999997</v>
      </c>
      <c r="J27" s="27">
        <f t="shared" si="0"/>
        <v>234.46583999999996</v>
      </c>
      <c r="K27" s="27">
        <f>I27*0.95</f>
        <v>176.77979999999997</v>
      </c>
      <c r="L27" s="27">
        <f>I27*0.5</f>
        <v>93.041999999999987</v>
      </c>
      <c r="M27" s="27">
        <f>J27+K27+L27</f>
        <v>504.2876399999999</v>
      </c>
    </row>
    <row r="28" spans="1:13" x14ac:dyDescent="0.2">
      <c r="A28" s="25">
        <v>13</v>
      </c>
      <c r="B28" s="8" t="s">
        <v>24</v>
      </c>
      <c r="C28" s="9"/>
      <c r="D28" s="25" t="s">
        <v>58</v>
      </c>
      <c r="E28" s="25">
        <v>24</v>
      </c>
      <c r="F28" s="25">
        <v>0.3</v>
      </c>
      <c r="G28" s="14">
        <v>2</v>
      </c>
      <c r="H28" s="8">
        <f>F28*E28</f>
        <v>7.1999999999999993</v>
      </c>
      <c r="I28" s="27">
        <f>H28*51.69</f>
        <v>372.16799999999995</v>
      </c>
      <c r="J28" s="74">
        <f t="shared" si="0"/>
        <v>468.93167999999991</v>
      </c>
      <c r="K28" s="27">
        <f>I28*0.95</f>
        <v>353.55959999999993</v>
      </c>
      <c r="L28" s="27">
        <f>I28*0.5</f>
        <v>186.08399999999997</v>
      </c>
      <c r="M28" s="27">
        <f>J28+K28+L28</f>
        <v>1008.5752799999998</v>
      </c>
    </row>
    <row r="29" spans="1:13" x14ac:dyDescent="0.2">
      <c r="A29" s="26"/>
      <c r="B29" s="10" t="s">
        <v>25</v>
      </c>
      <c r="C29" s="11"/>
      <c r="D29" s="26"/>
      <c r="E29" s="26"/>
      <c r="F29" s="26"/>
      <c r="G29" s="15"/>
      <c r="H29" s="10"/>
      <c r="I29" s="28"/>
      <c r="J29" s="72"/>
      <c r="K29" s="28"/>
      <c r="L29" s="28"/>
      <c r="M29" s="28"/>
    </row>
    <row r="30" spans="1:13" x14ac:dyDescent="0.2">
      <c r="A30" s="25">
        <v>14</v>
      </c>
      <c r="B30" s="8" t="s">
        <v>115</v>
      </c>
      <c r="C30" s="9"/>
      <c r="D30" s="25" t="s">
        <v>58</v>
      </c>
      <c r="E30" s="25">
        <v>2</v>
      </c>
      <c r="F30" s="25">
        <v>0.3</v>
      </c>
      <c r="G30" s="14">
        <v>2</v>
      </c>
      <c r="H30" s="8">
        <f>F30*E30</f>
        <v>0.6</v>
      </c>
      <c r="I30" s="29">
        <f>H30*51.69</f>
        <v>31.013999999999996</v>
      </c>
      <c r="J30" s="74">
        <f t="shared" si="0"/>
        <v>39.077639999999995</v>
      </c>
      <c r="K30" s="27">
        <f>I30*0.95</f>
        <v>29.463299999999993</v>
      </c>
      <c r="L30" s="27">
        <f>I30*0.5</f>
        <v>15.506999999999998</v>
      </c>
      <c r="M30" s="27">
        <f>J30+K30+L30</f>
        <v>84.047939999999983</v>
      </c>
    </row>
    <row r="31" spans="1:13" x14ac:dyDescent="0.2">
      <c r="A31" s="26"/>
      <c r="B31" s="10" t="s">
        <v>114</v>
      </c>
      <c r="C31" s="11"/>
      <c r="D31" s="26"/>
      <c r="E31" s="26"/>
      <c r="F31" s="26"/>
      <c r="G31" s="15"/>
      <c r="H31" s="10"/>
      <c r="I31" s="28"/>
      <c r="J31" s="72"/>
      <c r="K31" s="28"/>
      <c r="L31" s="28"/>
      <c r="M31" s="28"/>
    </row>
    <row r="32" spans="1:13" x14ac:dyDescent="0.2">
      <c r="A32" s="25">
        <v>15</v>
      </c>
      <c r="B32" s="8" t="s">
        <v>26</v>
      </c>
      <c r="C32" s="9"/>
      <c r="D32" s="25" t="s">
        <v>58</v>
      </c>
      <c r="E32" s="25">
        <v>24</v>
      </c>
      <c r="F32" s="25">
        <v>0.17</v>
      </c>
      <c r="G32" s="14">
        <v>2</v>
      </c>
      <c r="H32" s="8">
        <f>F32*E32</f>
        <v>4.08</v>
      </c>
      <c r="I32" s="29">
        <f>H32*51.69</f>
        <v>210.89519999999999</v>
      </c>
      <c r="J32" s="74">
        <f t="shared" si="0"/>
        <v>265.72795199999996</v>
      </c>
      <c r="K32" s="27">
        <f>I32*0.95</f>
        <v>200.35043999999999</v>
      </c>
      <c r="L32" s="27">
        <f>I32*0.5</f>
        <v>105.44759999999999</v>
      </c>
      <c r="M32" s="27">
        <f>J32+K32+L32</f>
        <v>571.52599199999997</v>
      </c>
    </row>
    <row r="33" spans="1:13" x14ac:dyDescent="0.2">
      <c r="A33" s="26"/>
      <c r="B33" s="10" t="s">
        <v>27</v>
      </c>
      <c r="C33" s="11"/>
      <c r="D33" s="26"/>
      <c r="E33" s="26"/>
      <c r="F33" s="26"/>
      <c r="G33" s="15"/>
      <c r="H33" s="10"/>
      <c r="I33" s="28"/>
      <c r="J33" s="72"/>
      <c r="K33" s="28"/>
      <c r="L33" s="28"/>
      <c r="M33" s="28"/>
    </row>
    <row r="34" spans="1:13" x14ac:dyDescent="0.2">
      <c r="A34" s="25">
        <v>16</v>
      </c>
      <c r="B34" s="8" t="s">
        <v>28</v>
      </c>
      <c r="C34" s="9"/>
      <c r="D34" s="25" t="s">
        <v>58</v>
      </c>
      <c r="E34" s="25">
        <v>2</v>
      </c>
      <c r="F34" s="25">
        <v>0.7</v>
      </c>
      <c r="G34" s="14">
        <v>2</v>
      </c>
      <c r="H34" s="8">
        <f>F34*E34</f>
        <v>1.4</v>
      </c>
      <c r="I34" s="29">
        <f>H34*51.69</f>
        <v>72.365999999999985</v>
      </c>
      <c r="J34" s="74">
        <f t="shared" si="0"/>
        <v>91.181159999999977</v>
      </c>
      <c r="K34" s="27">
        <f>I34*0.95</f>
        <v>68.74769999999998</v>
      </c>
      <c r="L34" s="27">
        <f>I34*0.5</f>
        <v>36.182999999999993</v>
      </c>
      <c r="M34" s="27">
        <f>J34+K34+L34</f>
        <v>196.11185999999995</v>
      </c>
    </row>
    <row r="35" spans="1:13" x14ac:dyDescent="0.2">
      <c r="A35" s="26"/>
      <c r="B35" s="10" t="s">
        <v>29</v>
      </c>
      <c r="C35" s="11"/>
      <c r="D35" s="20"/>
      <c r="E35" s="26"/>
      <c r="F35" s="26"/>
      <c r="G35" s="15"/>
      <c r="H35" s="12"/>
      <c r="I35" s="28"/>
      <c r="J35" s="72"/>
      <c r="K35" s="28"/>
      <c r="L35" s="28"/>
      <c r="M35" s="28"/>
    </row>
    <row r="36" spans="1:13" x14ac:dyDescent="0.2">
      <c r="A36" s="25">
        <v>17</v>
      </c>
      <c r="B36" s="8" t="s">
        <v>31</v>
      </c>
      <c r="C36" s="9"/>
      <c r="D36" s="25" t="s">
        <v>58</v>
      </c>
      <c r="E36" s="25">
        <v>12</v>
      </c>
      <c r="F36" s="25">
        <v>1.9</v>
      </c>
      <c r="G36" s="14">
        <v>2</v>
      </c>
      <c r="H36" s="8">
        <f>F36*E36</f>
        <v>22.799999999999997</v>
      </c>
      <c r="I36" s="29">
        <f>H36*51.69</f>
        <v>1178.5319999999997</v>
      </c>
      <c r="J36" s="74">
        <f t="shared" si="0"/>
        <v>1484.9503199999997</v>
      </c>
      <c r="K36" s="27">
        <f>I36*0.95</f>
        <v>1119.6053999999997</v>
      </c>
      <c r="L36" s="27">
        <f>I36*0.5</f>
        <v>589.26599999999985</v>
      </c>
      <c r="M36" s="27">
        <f>J36+K36+L36</f>
        <v>3193.821719999999</v>
      </c>
    </row>
    <row r="37" spans="1:13" x14ac:dyDescent="0.2">
      <c r="A37" s="26"/>
      <c r="B37" s="10" t="s">
        <v>116</v>
      </c>
      <c r="C37" s="11"/>
      <c r="D37" s="26"/>
      <c r="E37" s="26"/>
      <c r="F37" s="26"/>
      <c r="G37" s="15"/>
      <c r="H37" s="10"/>
      <c r="I37" s="28"/>
      <c r="J37" s="73"/>
      <c r="K37" s="29"/>
      <c r="L37" s="29"/>
      <c r="M37" s="29"/>
    </row>
    <row r="38" spans="1:13" x14ac:dyDescent="0.2">
      <c r="A38" s="25">
        <v>18</v>
      </c>
      <c r="B38" s="8" t="s">
        <v>30</v>
      </c>
      <c r="C38" s="9"/>
      <c r="D38" s="25" t="s">
        <v>58</v>
      </c>
      <c r="E38" s="25">
        <v>12</v>
      </c>
      <c r="F38" s="25">
        <v>0.15</v>
      </c>
      <c r="G38" s="14">
        <v>2</v>
      </c>
      <c r="H38" s="14">
        <f>F38*E38</f>
        <v>1.7999999999999998</v>
      </c>
      <c r="I38" s="28">
        <f>H38*51.69</f>
        <v>93.041999999999987</v>
      </c>
      <c r="J38" s="18">
        <f t="shared" si="0"/>
        <v>117.23291999999998</v>
      </c>
      <c r="K38" s="18">
        <f>I38*0.95</f>
        <v>88.389899999999983</v>
      </c>
      <c r="L38" s="18">
        <f>I38*0.5</f>
        <v>46.520999999999994</v>
      </c>
      <c r="M38" s="18">
        <f>J38+K38+L38</f>
        <v>252.14381999999995</v>
      </c>
    </row>
    <row r="39" spans="1:13" x14ac:dyDescent="0.2">
      <c r="A39" s="25">
        <v>19</v>
      </c>
      <c r="B39" s="8" t="s">
        <v>32</v>
      </c>
      <c r="C39" s="9"/>
      <c r="D39" s="25" t="s">
        <v>58</v>
      </c>
      <c r="E39" s="25">
        <v>12</v>
      </c>
      <c r="F39" s="25">
        <v>0.15</v>
      </c>
      <c r="G39" s="14">
        <v>2</v>
      </c>
      <c r="H39" s="14">
        <f>F39*E39</f>
        <v>1.7999999999999998</v>
      </c>
      <c r="I39" s="18">
        <f>H39*51.69</f>
        <v>93.041999999999987</v>
      </c>
      <c r="J39" s="18">
        <f t="shared" si="0"/>
        <v>117.23291999999998</v>
      </c>
      <c r="K39" s="18">
        <f>I39*0.95</f>
        <v>88.389899999999983</v>
      </c>
      <c r="L39" s="18">
        <f>I39*0.5</f>
        <v>46.520999999999994</v>
      </c>
      <c r="M39" s="18">
        <f>J39+K39+L39</f>
        <v>252.14381999999995</v>
      </c>
    </row>
    <row r="40" spans="1:13" x14ac:dyDescent="0.2">
      <c r="A40" s="36">
        <v>20</v>
      </c>
      <c r="B40" s="76" t="s">
        <v>117</v>
      </c>
      <c r="C40" s="77"/>
      <c r="D40" s="25" t="s">
        <v>58</v>
      </c>
      <c r="E40" s="25">
        <v>2</v>
      </c>
      <c r="F40" s="25">
        <v>0.2</v>
      </c>
      <c r="G40" s="14">
        <v>2</v>
      </c>
      <c r="H40" s="14">
        <f>F40*E40</f>
        <v>0.4</v>
      </c>
      <c r="I40" s="18">
        <f>H40*51.69</f>
        <v>20.676000000000002</v>
      </c>
      <c r="J40" s="18">
        <f t="shared" si="0"/>
        <v>26.051760000000002</v>
      </c>
      <c r="K40" s="18">
        <f>I40*0.95</f>
        <v>19.642200000000003</v>
      </c>
      <c r="L40" s="18">
        <f>I40*0.5</f>
        <v>10.338000000000001</v>
      </c>
      <c r="M40" s="18">
        <f>J40+K40+L40</f>
        <v>56.031960000000005</v>
      </c>
    </row>
    <row r="41" spans="1:13" x14ac:dyDescent="0.2">
      <c r="A41" s="35">
        <v>21</v>
      </c>
      <c r="B41" s="8" t="s">
        <v>33</v>
      </c>
      <c r="C41" s="9"/>
      <c r="D41" s="25" t="s">
        <v>58</v>
      </c>
      <c r="E41" s="25"/>
      <c r="F41" s="35">
        <v>0.17</v>
      </c>
      <c r="G41" s="19">
        <v>2</v>
      </c>
      <c r="H41" s="14">
        <f>F41*G41</f>
        <v>0.34</v>
      </c>
      <c r="I41" s="18">
        <f>H41*51.69</f>
        <v>17.5746</v>
      </c>
      <c r="J41" s="18">
        <f t="shared" si="0"/>
        <v>22.143996000000001</v>
      </c>
      <c r="K41" s="18">
        <f>I41*0.95</f>
        <v>16.695869999999999</v>
      </c>
      <c r="L41" s="18">
        <f>I41*0.5</f>
        <v>8.7873000000000001</v>
      </c>
      <c r="M41" s="18">
        <f>J41+K41+L41</f>
        <v>47.627166000000003</v>
      </c>
    </row>
    <row r="42" spans="1:13" x14ac:dyDescent="0.2">
      <c r="A42" s="25">
        <v>17</v>
      </c>
      <c r="B42" s="8" t="s">
        <v>34</v>
      </c>
      <c r="C42" s="9"/>
      <c r="D42" s="25" t="s">
        <v>58</v>
      </c>
      <c r="E42" s="25"/>
      <c r="F42" s="25">
        <v>0.15</v>
      </c>
      <c r="G42" s="14">
        <v>2</v>
      </c>
      <c r="H42" s="8">
        <f>F42*G42</f>
        <v>0.3</v>
      </c>
      <c r="I42" s="29">
        <f>H42*51.69</f>
        <v>15.506999999999998</v>
      </c>
      <c r="J42" s="74">
        <f t="shared" si="0"/>
        <v>19.538819999999998</v>
      </c>
      <c r="K42" s="27">
        <f>I42*0.95</f>
        <v>14.731649999999997</v>
      </c>
      <c r="L42" s="74">
        <f>I42*0.5</f>
        <v>7.7534999999999989</v>
      </c>
      <c r="M42" s="27">
        <f>J42+K42+L42</f>
        <v>42.023969999999991</v>
      </c>
    </row>
    <row r="43" spans="1:13" x14ac:dyDescent="0.2">
      <c r="A43" s="20"/>
      <c r="B43" s="10" t="s">
        <v>35</v>
      </c>
      <c r="C43" s="11"/>
      <c r="D43" s="20"/>
      <c r="E43" s="20"/>
      <c r="F43" s="20"/>
      <c r="G43" s="16"/>
      <c r="H43" s="12"/>
      <c r="I43" s="28"/>
      <c r="J43" s="72"/>
      <c r="K43" s="28"/>
      <c r="L43" s="28"/>
      <c r="M43" s="72"/>
    </row>
    <row r="44" spans="1:13" x14ac:dyDescent="0.2">
      <c r="A44" s="25">
        <v>18</v>
      </c>
      <c r="B44" s="338" t="s">
        <v>38</v>
      </c>
      <c r="C44" s="339"/>
      <c r="D44" s="25" t="s">
        <v>58</v>
      </c>
      <c r="E44" s="25"/>
      <c r="F44" s="25">
        <v>0.25</v>
      </c>
      <c r="G44" s="14">
        <v>2</v>
      </c>
      <c r="H44" s="8">
        <f>F44*G44</f>
        <v>0.5</v>
      </c>
      <c r="I44" s="27">
        <f>H44*51.69</f>
        <v>25.844999999999999</v>
      </c>
      <c r="J44" s="73">
        <f t="shared" si="0"/>
        <v>32.564700000000002</v>
      </c>
      <c r="K44" s="29">
        <f>I44*0.95</f>
        <v>24.552749999999996</v>
      </c>
      <c r="L44" s="29">
        <f>I44*0.5</f>
        <v>12.922499999999999</v>
      </c>
      <c r="M44" s="29">
        <f>J44+K44+L44</f>
        <v>70.039950000000005</v>
      </c>
    </row>
    <row r="45" spans="1:13" x14ac:dyDescent="0.2">
      <c r="A45" s="20"/>
      <c r="B45" s="342" t="s">
        <v>39</v>
      </c>
      <c r="C45" s="343"/>
      <c r="D45" s="20"/>
      <c r="E45" s="20"/>
      <c r="F45" s="20"/>
      <c r="G45" s="16"/>
      <c r="H45" s="12"/>
      <c r="I45" s="28"/>
      <c r="J45" s="72"/>
      <c r="K45" s="28"/>
      <c r="L45" s="28"/>
      <c r="M45" s="72"/>
    </row>
    <row r="46" spans="1:13" ht="22.5" customHeight="1" x14ac:dyDescent="0.2">
      <c r="A46" s="25">
        <v>19</v>
      </c>
      <c r="B46" s="338" t="s">
        <v>59</v>
      </c>
      <c r="C46" s="339"/>
      <c r="D46" s="25" t="s">
        <v>62</v>
      </c>
      <c r="E46" s="25"/>
      <c r="F46" s="44" t="s">
        <v>60</v>
      </c>
      <c r="G46" s="46">
        <v>2</v>
      </c>
      <c r="H46" s="46">
        <v>12.6</v>
      </c>
      <c r="I46" s="28">
        <f>H46*51.69</f>
        <v>651.29399999999998</v>
      </c>
      <c r="J46" s="75">
        <f t="shared" si="0"/>
        <v>820.63044000000002</v>
      </c>
      <c r="K46" s="75">
        <f>I46*0.95</f>
        <v>618.72929999999997</v>
      </c>
      <c r="L46" s="75">
        <f>I46*0.5</f>
        <v>325.64699999999999</v>
      </c>
      <c r="M46" s="75">
        <f>J46+K46+L46</f>
        <v>1765.0067399999998</v>
      </c>
    </row>
    <row r="47" spans="1:13" ht="12.75" customHeight="1" x14ac:dyDescent="0.2">
      <c r="A47" s="25">
        <v>20</v>
      </c>
      <c r="B47" s="338" t="s">
        <v>40</v>
      </c>
      <c r="C47" s="339"/>
      <c r="D47" s="348" t="s">
        <v>61</v>
      </c>
      <c r="E47" s="47"/>
      <c r="F47" s="344" t="s">
        <v>63</v>
      </c>
      <c r="G47" s="349">
        <v>2</v>
      </c>
      <c r="H47" s="349">
        <v>14.4</v>
      </c>
      <c r="I47" s="346">
        <v>31.014000000000003</v>
      </c>
      <c r="J47" s="346">
        <f t="shared" si="0"/>
        <v>39.077640000000002</v>
      </c>
      <c r="K47" s="346">
        <f>I47*0.95</f>
        <v>29.4633</v>
      </c>
      <c r="L47" s="346">
        <f>I47*0.5</f>
        <v>15.507000000000001</v>
      </c>
      <c r="M47" s="346">
        <f>J47+K47+L47</f>
        <v>84.047940000000011</v>
      </c>
    </row>
    <row r="48" spans="1:13" ht="10.5" customHeight="1" x14ac:dyDescent="0.2">
      <c r="A48" s="20"/>
      <c r="B48" s="342" t="s">
        <v>41</v>
      </c>
      <c r="C48" s="343"/>
      <c r="D48" s="345"/>
      <c r="E48" s="69"/>
      <c r="F48" s="345"/>
      <c r="G48" s="347"/>
      <c r="H48" s="347"/>
      <c r="I48" s="347"/>
      <c r="J48" s="347"/>
      <c r="K48" s="347"/>
      <c r="L48" s="347"/>
      <c r="M48" s="347"/>
    </row>
    <row r="49" spans="1:13" x14ac:dyDescent="0.2">
      <c r="A49" s="25">
        <v>21</v>
      </c>
      <c r="B49" s="338" t="s">
        <v>42</v>
      </c>
      <c r="C49" s="339"/>
      <c r="D49" s="348" t="s">
        <v>58</v>
      </c>
      <c r="E49" s="47"/>
      <c r="F49" s="348">
        <v>0.2</v>
      </c>
      <c r="G49" s="349">
        <v>2</v>
      </c>
      <c r="H49" s="349">
        <f>F49*G49</f>
        <v>0.4</v>
      </c>
      <c r="I49" s="346">
        <f>H49*51.69</f>
        <v>20.676000000000002</v>
      </c>
      <c r="J49" s="346">
        <f t="shared" si="0"/>
        <v>26.051760000000002</v>
      </c>
      <c r="K49" s="346">
        <f>I49*0.95</f>
        <v>19.642200000000003</v>
      </c>
      <c r="L49" s="346">
        <f>I49*0.5</f>
        <v>10.338000000000001</v>
      </c>
      <c r="M49" s="346">
        <f>J49+K49+L49</f>
        <v>56.031960000000005</v>
      </c>
    </row>
    <row r="50" spans="1:13" x14ac:dyDescent="0.2">
      <c r="A50" s="20"/>
      <c r="B50" s="342" t="s">
        <v>43</v>
      </c>
      <c r="C50" s="343"/>
      <c r="D50" s="345"/>
      <c r="E50" s="69"/>
      <c r="F50" s="345"/>
      <c r="G50" s="347"/>
      <c r="H50" s="347"/>
      <c r="I50" s="347"/>
      <c r="J50" s="347"/>
      <c r="K50" s="347"/>
      <c r="L50" s="347"/>
      <c r="M50" s="347"/>
    </row>
    <row r="51" spans="1:13" x14ac:dyDescent="0.2">
      <c r="A51" s="25">
        <v>22</v>
      </c>
      <c r="B51" s="338" t="s">
        <v>44</v>
      </c>
      <c r="C51" s="339"/>
      <c r="D51" s="348" t="s">
        <v>64</v>
      </c>
      <c r="E51" s="47"/>
      <c r="F51" s="344" t="s">
        <v>65</v>
      </c>
      <c r="G51" s="349">
        <v>2</v>
      </c>
      <c r="H51" s="349">
        <v>12.48</v>
      </c>
      <c r="I51" s="346">
        <v>31.014000000000003</v>
      </c>
      <c r="J51" s="346">
        <f t="shared" si="0"/>
        <v>39.077640000000002</v>
      </c>
      <c r="K51" s="346">
        <f>I51*0.95</f>
        <v>29.4633</v>
      </c>
      <c r="L51" s="346">
        <f>I51*0.5</f>
        <v>15.507000000000001</v>
      </c>
      <c r="M51" s="346">
        <f>J51+K51+L51</f>
        <v>84.047940000000011</v>
      </c>
    </row>
    <row r="52" spans="1:13" ht="10.5" customHeight="1" x14ac:dyDescent="0.2">
      <c r="A52" s="20"/>
      <c r="B52" s="342" t="s">
        <v>45</v>
      </c>
      <c r="C52" s="343"/>
      <c r="D52" s="345"/>
      <c r="E52" s="69"/>
      <c r="F52" s="350"/>
      <c r="G52" s="347"/>
      <c r="H52" s="347"/>
      <c r="I52" s="347"/>
      <c r="J52" s="347"/>
      <c r="K52" s="347"/>
      <c r="L52" s="347"/>
      <c r="M52" s="347"/>
    </row>
    <row r="53" spans="1:13" s="54" customFormat="1" x14ac:dyDescent="0.2">
      <c r="A53" s="49"/>
      <c r="B53" s="340" t="s">
        <v>66</v>
      </c>
      <c r="C53" s="341"/>
      <c r="D53" s="50"/>
      <c r="E53" s="50"/>
      <c r="F53" s="49"/>
      <c r="G53" s="51"/>
      <c r="H53" s="52">
        <f>SUM(H9:H52)</f>
        <v>156.5</v>
      </c>
      <c r="I53" s="18">
        <f>H53*51.69</f>
        <v>8089.4849999999997</v>
      </c>
      <c r="J53" s="18">
        <f>I53*1.26</f>
        <v>10192.751099999999</v>
      </c>
      <c r="K53" s="18">
        <f>I53*0.95</f>
        <v>7685.0107499999995</v>
      </c>
      <c r="L53" s="18">
        <f>I53*0.5</f>
        <v>4044.7424999999998</v>
      </c>
      <c r="M53" s="18">
        <f>J53+K53+L53</f>
        <v>21922.504349999999</v>
      </c>
    </row>
    <row r="54" spans="1:13" x14ac:dyDescent="0.2">
      <c r="A54" s="262"/>
      <c r="B54" s="265" t="s">
        <v>46</v>
      </c>
      <c r="C54" s="323"/>
      <c r="D54" s="262"/>
      <c r="E54" s="25"/>
      <c r="F54" s="262"/>
      <c r="G54" s="262"/>
      <c r="H54" s="14">
        <f>H53*1.15</f>
        <v>179.97499999999999</v>
      </c>
      <c r="I54" s="28"/>
      <c r="J54" s="28"/>
      <c r="K54" s="28"/>
      <c r="L54" s="28"/>
      <c r="M54" s="39">
        <f>M53*1.15</f>
        <v>25210.880002499998</v>
      </c>
    </row>
    <row r="55" spans="1:13" x14ac:dyDescent="0.2">
      <c r="A55" s="281"/>
      <c r="B55" s="270" t="s">
        <v>67</v>
      </c>
      <c r="C55" s="324"/>
      <c r="D55" s="280"/>
      <c r="E55" s="26"/>
      <c r="F55" s="280"/>
      <c r="G55" s="280"/>
      <c r="H55" s="15"/>
      <c r="I55" s="23"/>
      <c r="J55" s="24"/>
      <c r="K55" s="23"/>
      <c r="L55" s="23"/>
      <c r="M55" s="29"/>
    </row>
    <row r="56" spans="1:13" ht="15" customHeight="1" x14ac:dyDescent="0.2">
      <c r="A56" s="20"/>
      <c r="B56" s="351" t="s">
        <v>68</v>
      </c>
      <c r="C56" s="352"/>
      <c r="D56" s="43"/>
      <c r="E56" s="43"/>
      <c r="F56" s="20"/>
      <c r="G56" s="20"/>
      <c r="H56" s="20"/>
      <c r="I56" s="27"/>
      <c r="J56" s="30"/>
      <c r="K56" s="27"/>
      <c r="L56" s="27"/>
      <c r="M56" s="28">
        <f>M54*3/100</f>
        <v>756.32640007500004</v>
      </c>
    </row>
    <row r="57" spans="1:13" x14ac:dyDescent="0.2">
      <c r="A57" s="20"/>
      <c r="B57" s="353" t="s">
        <v>49</v>
      </c>
      <c r="C57" s="354"/>
      <c r="D57" s="20" t="s">
        <v>103</v>
      </c>
      <c r="E57" s="20"/>
      <c r="F57" s="20">
        <v>83</v>
      </c>
      <c r="G57" s="355" t="s">
        <v>118</v>
      </c>
      <c r="H57" s="356"/>
      <c r="I57" s="29"/>
      <c r="J57" s="31"/>
      <c r="K57" s="29"/>
      <c r="L57" s="29"/>
      <c r="M57" s="18">
        <v>24900</v>
      </c>
    </row>
    <row r="58" spans="1:13" x14ac:dyDescent="0.2">
      <c r="A58" s="20"/>
      <c r="B58" s="357" t="s">
        <v>50</v>
      </c>
      <c r="C58" s="358"/>
      <c r="D58" s="20" t="s">
        <v>51</v>
      </c>
      <c r="E58" s="20"/>
      <c r="F58" s="20">
        <v>2</v>
      </c>
      <c r="G58" s="355" t="s">
        <v>120</v>
      </c>
      <c r="H58" s="356"/>
      <c r="I58" s="28"/>
      <c r="J58" s="32"/>
      <c r="K58" s="28"/>
      <c r="L58" s="28"/>
      <c r="M58" s="28">
        <v>1798.2</v>
      </c>
    </row>
    <row r="59" spans="1:13" x14ac:dyDescent="0.2">
      <c r="A59" s="20"/>
      <c r="B59" s="334" t="s">
        <v>72</v>
      </c>
      <c r="C59" s="335"/>
      <c r="D59" s="37"/>
      <c r="E59" s="37"/>
      <c r="F59" s="37"/>
      <c r="G59" s="45"/>
      <c r="H59" s="57"/>
      <c r="I59" s="18"/>
      <c r="J59" s="17"/>
      <c r="K59" s="18"/>
      <c r="L59" s="18"/>
      <c r="M59" s="33">
        <f>SUM(M54:M58)</f>
        <v>52665.406402574998</v>
      </c>
    </row>
    <row r="60" spans="1:13" x14ac:dyDescent="0.2">
      <c r="A60" s="58"/>
      <c r="B60" s="67"/>
      <c r="C60" s="67"/>
      <c r="D60" s="55"/>
      <c r="E60" s="55"/>
      <c r="F60" s="55"/>
      <c r="G60" s="55"/>
      <c r="H60" s="68"/>
    </row>
    <row r="61" spans="1:13" x14ac:dyDescent="0.2">
      <c r="A61" s="300" t="s">
        <v>74</v>
      </c>
      <c r="B61" s="337"/>
      <c r="C61" s="337"/>
      <c r="D61" s="337"/>
      <c r="E61" s="337"/>
      <c r="F61" s="337"/>
      <c r="G61" s="272" t="s">
        <v>119</v>
      </c>
      <c r="H61" s="272"/>
    </row>
    <row r="62" spans="1:13" x14ac:dyDescent="0.2">
      <c r="A62" s="65"/>
      <c r="B62" s="66"/>
      <c r="C62" s="66"/>
      <c r="D62" s="66"/>
      <c r="E62" s="66"/>
      <c r="F62" s="66"/>
      <c r="G62" s="55"/>
      <c r="H62" s="55"/>
    </row>
    <row r="63" spans="1:13" x14ac:dyDescent="0.2">
      <c r="A63" s="65"/>
      <c r="B63" s="66"/>
      <c r="C63" s="66"/>
      <c r="D63" s="66"/>
      <c r="E63" s="66"/>
      <c r="F63" s="66"/>
      <c r="G63" s="55"/>
      <c r="H63" s="55"/>
    </row>
    <row r="65" spans="1:13" x14ac:dyDescent="0.2">
      <c r="A65" t="s">
        <v>75</v>
      </c>
      <c r="D65"/>
      <c r="E65"/>
      <c r="F65"/>
      <c r="K65" s="142" t="s">
        <v>76</v>
      </c>
      <c r="L65" s="142"/>
      <c r="M65" s="142"/>
    </row>
    <row r="66" spans="1:13" x14ac:dyDescent="0.2">
      <c r="A66" t="s">
        <v>77</v>
      </c>
      <c r="D66"/>
      <c r="E66"/>
      <c r="F66"/>
      <c r="K66" s="142" t="s">
        <v>79</v>
      </c>
      <c r="L66" s="142"/>
      <c r="M66" s="142"/>
    </row>
    <row r="67" spans="1:13" x14ac:dyDescent="0.2">
      <c r="A67" t="s">
        <v>78</v>
      </c>
      <c r="D67"/>
      <c r="E67"/>
      <c r="F67"/>
      <c r="K67" s="142" t="s">
        <v>80</v>
      </c>
      <c r="L67" s="142"/>
      <c r="M67" s="142"/>
    </row>
    <row r="68" spans="1:13" x14ac:dyDescent="0.2">
      <c r="A68" t="s">
        <v>82</v>
      </c>
      <c r="D68"/>
      <c r="E68"/>
      <c r="F68"/>
      <c r="K68" s="142" t="s">
        <v>81</v>
      </c>
      <c r="L68" s="142"/>
      <c r="M68" s="142"/>
    </row>
    <row r="69" spans="1:13" x14ac:dyDescent="0.2">
      <c r="K69" s="142"/>
      <c r="L69" s="142"/>
      <c r="M69" s="142"/>
    </row>
  </sheetData>
  <mergeCells count="59">
    <mergeCell ref="A61:F61"/>
    <mergeCell ref="G61:H61"/>
    <mergeCell ref="J51:J52"/>
    <mergeCell ref="K51:K52"/>
    <mergeCell ref="B56:C56"/>
    <mergeCell ref="B57:C57"/>
    <mergeCell ref="G57:H57"/>
    <mergeCell ref="B58:C58"/>
    <mergeCell ref="G58:H58"/>
    <mergeCell ref="B59:C59"/>
    <mergeCell ref="G54:G55"/>
    <mergeCell ref="M51:M52"/>
    <mergeCell ref="F51:F52"/>
    <mergeCell ref="G51:G52"/>
    <mergeCell ref="H51:H52"/>
    <mergeCell ref="I51:I52"/>
    <mergeCell ref="I49:I50"/>
    <mergeCell ref="J49:J50"/>
    <mergeCell ref="K49:K50"/>
    <mergeCell ref="L49:L50"/>
    <mergeCell ref="L51:L52"/>
    <mergeCell ref="A3:M3"/>
    <mergeCell ref="A5:A8"/>
    <mergeCell ref="B5:C8"/>
    <mergeCell ref="D5:D8"/>
    <mergeCell ref="F5:F8"/>
    <mergeCell ref="G5:G8"/>
    <mergeCell ref="H5:H8"/>
    <mergeCell ref="B44:C44"/>
    <mergeCell ref="B45:C45"/>
    <mergeCell ref="B46:C46"/>
    <mergeCell ref="D47:D48"/>
    <mergeCell ref="E5:E7"/>
    <mergeCell ref="F47:F48"/>
    <mergeCell ref="M49:M50"/>
    <mergeCell ref="D51:D52"/>
    <mergeCell ref="B47:C47"/>
    <mergeCell ref="B48:C48"/>
    <mergeCell ref="H47:H48"/>
    <mergeCell ref="I47:I48"/>
    <mergeCell ref="J47:J48"/>
    <mergeCell ref="K47:K48"/>
    <mergeCell ref="G47:G48"/>
    <mergeCell ref="L47:L48"/>
    <mergeCell ref="M47:M48"/>
    <mergeCell ref="D49:D50"/>
    <mergeCell ref="F49:F50"/>
    <mergeCell ref="G49:G50"/>
    <mergeCell ref="H49:H50"/>
    <mergeCell ref="B49:C49"/>
    <mergeCell ref="B53:C53"/>
    <mergeCell ref="A54:A55"/>
    <mergeCell ref="D54:D55"/>
    <mergeCell ref="F54:F55"/>
    <mergeCell ref="B54:C54"/>
    <mergeCell ref="B55:C55"/>
    <mergeCell ref="B51:C51"/>
    <mergeCell ref="B52:C52"/>
    <mergeCell ref="B50:C50"/>
  </mergeCells>
  <phoneticPr fontId="3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68"/>
  <sheetViews>
    <sheetView topLeftCell="A42" workbookViewId="0">
      <selection activeCell="A2" sqref="A1:XFD1048576"/>
    </sheetView>
  </sheetViews>
  <sheetFormatPr defaultRowHeight="12.75" x14ac:dyDescent="0.2"/>
  <cols>
    <col min="1" max="1" width="4" style="34" customWidth="1"/>
    <col min="3" max="3" width="25.85546875" customWidth="1"/>
    <col min="4" max="5" width="7.7109375" style="34" customWidth="1"/>
    <col min="6" max="6" width="11" style="34" customWidth="1"/>
    <col min="7" max="7" width="8" customWidth="1"/>
    <col min="8" max="8" width="9.5703125" customWidth="1"/>
    <col min="9" max="10" width="7.85546875" customWidth="1"/>
    <col min="11" max="11" width="8.28515625" customWidth="1"/>
    <col min="13" max="13" width="9.5703125" bestFit="1" customWidth="1"/>
  </cols>
  <sheetData>
    <row r="1" spans="1:17" x14ac:dyDescent="0.2">
      <c r="A1"/>
      <c r="D1"/>
      <c r="E1"/>
      <c r="F1"/>
      <c r="H1" t="s">
        <v>83</v>
      </c>
      <c r="K1" t="s">
        <v>83</v>
      </c>
    </row>
    <row r="2" spans="1:17" x14ac:dyDescent="0.2">
      <c r="A2"/>
      <c r="D2"/>
      <c r="E2"/>
      <c r="F2"/>
    </row>
    <row r="3" spans="1:17" x14ac:dyDescent="0.2">
      <c r="A3" s="272" t="s">
        <v>104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58"/>
      <c r="O3" s="58"/>
      <c r="P3" s="58"/>
      <c r="Q3" s="58"/>
    </row>
    <row r="4" spans="1:17" x14ac:dyDescent="0.2">
      <c r="A4" s="55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</row>
    <row r="5" spans="1:17" ht="12.75" customHeight="1" x14ac:dyDescent="0.2">
      <c r="A5" s="274" t="s">
        <v>52</v>
      </c>
      <c r="B5" s="275" t="s">
        <v>0</v>
      </c>
      <c r="C5" s="311"/>
      <c r="D5" s="274" t="s">
        <v>53</v>
      </c>
      <c r="E5" s="274" t="s">
        <v>105</v>
      </c>
      <c r="F5" s="274" t="s">
        <v>106</v>
      </c>
      <c r="G5" s="274" t="s">
        <v>55</v>
      </c>
      <c r="H5" s="274" t="s">
        <v>56</v>
      </c>
      <c r="I5" s="1" t="s">
        <v>1</v>
      </c>
      <c r="J5" s="1" t="s">
        <v>10</v>
      </c>
      <c r="K5" s="1" t="s">
        <v>3</v>
      </c>
      <c r="L5" s="1" t="s">
        <v>6</v>
      </c>
      <c r="M5" s="1" t="s">
        <v>8</v>
      </c>
    </row>
    <row r="6" spans="1:17" x14ac:dyDescent="0.2">
      <c r="A6" s="309"/>
      <c r="B6" s="312"/>
      <c r="C6" s="313"/>
      <c r="D6" s="309"/>
      <c r="E6" s="304"/>
      <c r="F6" s="309"/>
      <c r="G6" s="309"/>
      <c r="H6" s="309"/>
      <c r="I6" s="2" t="s">
        <v>2</v>
      </c>
      <c r="J6" s="2" t="s">
        <v>36</v>
      </c>
      <c r="K6" s="2" t="s">
        <v>4</v>
      </c>
      <c r="L6" s="2" t="s">
        <v>7</v>
      </c>
      <c r="M6" s="2" t="s">
        <v>2</v>
      </c>
    </row>
    <row r="7" spans="1:17" x14ac:dyDescent="0.2">
      <c r="A7" s="309"/>
      <c r="B7" s="312"/>
      <c r="C7" s="313"/>
      <c r="D7" s="309"/>
      <c r="E7" s="304"/>
      <c r="F7" s="309"/>
      <c r="G7" s="309"/>
      <c r="H7" s="309"/>
      <c r="I7" s="2" t="s">
        <v>10</v>
      </c>
      <c r="J7" s="2" t="s">
        <v>37</v>
      </c>
      <c r="K7" s="4">
        <v>0.95</v>
      </c>
      <c r="L7" s="4">
        <v>0.5</v>
      </c>
      <c r="M7" s="5"/>
    </row>
    <row r="8" spans="1:17" ht="21" customHeight="1" x14ac:dyDescent="0.2">
      <c r="A8" s="310"/>
      <c r="B8" s="314"/>
      <c r="C8" s="315"/>
      <c r="D8" s="310"/>
      <c r="E8" s="64"/>
      <c r="F8" s="310"/>
      <c r="G8" s="310"/>
      <c r="H8" s="310"/>
      <c r="I8" s="7">
        <v>0.15</v>
      </c>
      <c r="J8" s="7">
        <v>0.26</v>
      </c>
      <c r="K8" s="3" t="s">
        <v>5</v>
      </c>
      <c r="L8" s="3" t="s">
        <v>5</v>
      </c>
      <c r="M8" s="6"/>
    </row>
    <row r="9" spans="1:17" x14ac:dyDescent="0.2">
      <c r="A9" s="25">
        <v>1</v>
      </c>
      <c r="B9" s="8" t="s">
        <v>9</v>
      </c>
      <c r="C9" s="9"/>
      <c r="D9" s="25" t="s">
        <v>58</v>
      </c>
      <c r="E9" s="25">
        <v>12</v>
      </c>
      <c r="F9" s="25">
        <v>0.05</v>
      </c>
      <c r="G9" s="14">
        <v>2</v>
      </c>
      <c r="H9" s="14">
        <f>F9*E9</f>
        <v>0.60000000000000009</v>
      </c>
      <c r="I9" s="18">
        <f>H9*51.69</f>
        <v>31.014000000000003</v>
      </c>
      <c r="J9" s="18">
        <f>I9*1.26</f>
        <v>39.077640000000002</v>
      </c>
      <c r="K9" s="18">
        <f>I9*0.95</f>
        <v>29.4633</v>
      </c>
      <c r="L9" s="18">
        <f>I9*0.5</f>
        <v>15.507000000000001</v>
      </c>
      <c r="M9" s="18">
        <f>J9+K9+L9</f>
        <v>84.047940000000011</v>
      </c>
      <c r="P9" s="59"/>
    </row>
    <row r="10" spans="1:17" x14ac:dyDescent="0.2">
      <c r="A10" s="25">
        <v>2</v>
      </c>
      <c r="B10" s="8" t="s">
        <v>11</v>
      </c>
      <c r="C10" s="9"/>
      <c r="D10" s="25" t="s">
        <v>58</v>
      </c>
      <c r="E10" s="25">
        <v>12</v>
      </c>
      <c r="F10" s="25">
        <v>0.05</v>
      </c>
      <c r="G10" s="14">
        <v>2</v>
      </c>
      <c r="H10" s="14">
        <f>F10*E10</f>
        <v>0.60000000000000009</v>
      </c>
      <c r="I10" s="18">
        <f>H10*51.69</f>
        <v>31.014000000000003</v>
      </c>
      <c r="J10" s="18">
        <f t="shared" ref="J10:J51" si="0">I10*1.26</f>
        <v>39.077640000000002</v>
      </c>
      <c r="K10" s="18">
        <f>I10*0.95</f>
        <v>29.4633</v>
      </c>
      <c r="L10" s="18">
        <f>I10*0.5</f>
        <v>15.507000000000001</v>
      </c>
      <c r="M10" s="18">
        <f>J10+K10+L10</f>
        <v>84.047940000000011</v>
      </c>
      <c r="P10" s="59"/>
    </row>
    <row r="11" spans="1:17" x14ac:dyDescent="0.2">
      <c r="A11" s="25">
        <v>3</v>
      </c>
      <c r="B11" s="8" t="s">
        <v>12</v>
      </c>
      <c r="C11" s="9"/>
      <c r="D11" s="25" t="s">
        <v>58</v>
      </c>
      <c r="E11" s="25">
        <v>24</v>
      </c>
      <c r="F11" s="25">
        <v>0.5</v>
      </c>
      <c r="G11" s="14">
        <v>2</v>
      </c>
      <c r="H11" s="14">
        <f>F11*E11</f>
        <v>12</v>
      </c>
      <c r="I11" s="27">
        <f>H11*51.69</f>
        <v>620.28</v>
      </c>
      <c r="J11" s="27">
        <f>I11*1.26</f>
        <v>781.55279999999993</v>
      </c>
      <c r="K11" s="27">
        <f>I11*0.95</f>
        <v>589.26599999999996</v>
      </c>
      <c r="L11" s="27">
        <f>I11*0.5</f>
        <v>310.14</v>
      </c>
      <c r="M11" s="27">
        <f>J11+K11+L11</f>
        <v>1680.9587999999999</v>
      </c>
      <c r="P11" s="59"/>
    </row>
    <row r="12" spans="1:17" x14ac:dyDescent="0.2">
      <c r="A12" s="26"/>
      <c r="B12" s="10" t="s">
        <v>13</v>
      </c>
      <c r="C12" s="11"/>
      <c r="D12" s="26"/>
      <c r="E12" s="26"/>
      <c r="F12" s="26"/>
      <c r="G12" s="15"/>
      <c r="H12" s="15"/>
      <c r="I12" s="28"/>
      <c r="J12" s="28"/>
      <c r="K12" s="28"/>
      <c r="L12" s="28"/>
      <c r="M12" s="28"/>
      <c r="P12" s="70"/>
    </row>
    <row r="13" spans="1:17" x14ac:dyDescent="0.2">
      <c r="A13" s="25">
        <v>4</v>
      </c>
      <c r="B13" s="8" t="s">
        <v>14</v>
      </c>
      <c r="C13" s="9"/>
      <c r="D13" s="25" t="s">
        <v>58</v>
      </c>
      <c r="E13" s="25">
        <v>24</v>
      </c>
      <c r="F13" s="25">
        <v>0.6</v>
      </c>
      <c r="G13" s="14">
        <v>2</v>
      </c>
      <c r="H13" s="14">
        <f>F13*E13</f>
        <v>14.399999999999999</v>
      </c>
      <c r="I13" s="27">
        <f>H13*51.69</f>
        <v>744.3359999999999</v>
      </c>
      <c r="J13" s="27">
        <f t="shared" si="0"/>
        <v>937.86335999999983</v>
      </c>
      <c r="K13" s="27">
        <f>I13*0.95</f>
        <v>707.11919999999986</v>
      </c>
      <c r="L13" s="27">
        <f>I13*0.5</f>
        <v>372.16799999999995</v>
      </c>
      <c r="M13" s="27">
        <f>J13+K13+L13</f>
        <v>2017.1505599999996</v>
      </c>
      <c r="P13" s="70"/>
    </row>
    <row r="14" spans="1:17" x14ac:dyDescent="0.2">
      <c r="A14" s="26"/>
      <c r="B14" s="10" t="s">
        <v>112</v>
      </c>
      <c r="C14" s="11"/>
      <c r="D14" s="26"/>
      <c r="E14" s="26"/>
      <c r="F14" s="26"/>
      <c r="G14" s="15"/>
      <c r="H14" s="15"/>
      <c r="I14" s="29"/>
      <c r="J14" s="29"/>
      <c r="K14" s="29"/>
      <c r="L14" s="29"/>
      <c r="M14" s="29"/>
    </row>
    <row r="15" spans="1:17" x14ac:dyDescent="0.2">
      <c r="A15" s="26"/>
      <c r="B15" s="10" t="s">
        <v>111</v>
      </c>
      <c r="C15" s="11"/>
      <c r="D15" s="26"/>
      <c r="E15" s="26"/>
      <c r="F15" s="26"/>
      <c r="G15" s="15"/>
      <c r="H15" s="15"/>
      <c r="I15" s="28"/>
      <c r="J15" s="28"/>
      <c r="K15" s="28"/>
      <c r="L15" s="28"/>
      <c r="M15" s="28"/>
    </row>
    <row r="16" spans="1:17" x14ac:dyDescent="0.2">
      <c r="A16" s="25">
        <v>5</v>
      </c>
      <c r="B16" s="8" t="s">
        <v>16</v>
      </c>
      <c r="C16" s="9"/>
      <c r="D16" s="25" t="s">
        <v>58</v>
      </c>
      <c r="E16" s="25">
        <v>12</v>
      </c>
      <c r="F16" s="25">
        <v>0.6</v>
      </c>
      <c r="G16" s="14">
        <v>2</v>
      </c>
      <c r="H16" s="14">
        <f>F16*E16</f>
        <v>7.1999999999999993</v>
      </c>
      <c r="I16" s="18">
        <f>H16*51.69</f>
        <v>372.16799999999995</v>
      </c>
      <c r="J16" s="27">
        <f t="shared" si="0"/>
        <v>468.93167999999991</v>
      </c>
      <c r="K16" s="27">
        <f>I16*0.95</f>
        <v>353.55959999999993</v>
      </c>
      <c r="L16" s="27">
        <f>I16*0.5</f>
        <v>186.08399999999997</v>
      </c>
      <c r="M16" s="27">
        <f>J16+K16+L16</f>
        <v>1008.5752799999998</v>
      </c>
    </row>
    <row r="17" spans="1:13" x14ac:dyDescent="0.2">
      <c r="A17" s="26"/>
      <c r="B17" s="10" t="s">
        <v>17</v>
      </c>
      <c r="C17" s="11"/>
      <c r="D17" s="26"/>
      <c r="E17" s="26"/>
      <c r="F17" s="26"/>
      <c r="G17" s="15"/>
      <c r="H17" s="15"/>
      <c r="I17" s="28"/>
      <c r="J17" s="28"/>
      <c r="K17" s="28"/>
      <c r="L17" s="28"/>
      <c r="M17" s="28"/>
    </row>
    <row r="18" spans="1:13" x14ac:dyDescent="0.2">
      <c r="A18" s="25">
        <v>6</v>
      </c>
      <c r="B18" s="8" t="s">
        <v>18</v>
      </c>
      <c r="C18" s="9"/>
      <c r="D18" s="25" t="s">
        <v>58</v>
      </c>
      <c r="E18" s="25">
        <v>4</v>
      </c>
      <c r="F18" s="25">
        <v>0.1</v>
      </c>
      <c r="G18" s="14">
        <v>2</v>
      </c>
      <c r="H18" s="14">
        <f>F18*E18</f>
        <v>0.4</v>
      </c>
      <c r="I18" s="18">
        <f>H18*51.69</f>
        <v>20.676000000000002</v>
      </c>
      <c r="J18" s="27">
        <f t="shared" si="0"/>
        <v>26.051760000000002</v>
      </c>
      <c r="K18" s="27">
        <f>I18*0.95</f>
        <v>19.642200000000003</v>
      </c>
      <c r="L18" s="27">
        <f>I18*0.5</f>
        <v>10.338000000000001</v>
      </c>
      <c r="M18" s="27">
        <f>J18+K18+L18</f>
        <v>56.031960000000005</v>
      </c>
    </row>
    <row r="19" spans="1:13" x14ac:dyDescent="0.2">
      <c r="A19" s="26"/>
      <c r="B19" s="10" t="s">
        <v>19</v>
      </c>
      <c r="C19" s="11"/>
      <c r="D19" s="26"/>
      <c r="E19" s="26"/>
      <c r="F19" s="26"/>
      <c r="G19" s="15"/>
      <c r="H19" s="15"/>
      <c r="I19" s="28"/>
      <c r="J19" s="28"/>
      <c r="K19" s="28"/>
      <c r="L19" s="28"/>
      <c r="M19" s="28"/>
    </row>
    <row r="20" spans="1:13" x14ac:dyDescent="0.2">
      <c r="A20" s="25">
        <v>7</v>
      </c>
      <c r="B20" s="8" t="s">
        <v>107</v>
      </c>
      <c r="C20" s="9"/>
      <c r="D20" s="25" t="s">
        <v>58</v>
      </c>
      <c r="E20" s="25">
        <v>12</v>
      </c>
      <c r="F20" s="25">
        <v>0.2</v>
      </c>
      <c r="G20" s="14">
        <v>2</v>
      </c>
      <c r="H20" s="14">
        <f>F20*E20</f>
        <v>2.4000000000000004</v>
      </c>
      <c r="I20" s="18">
        <f>H20*51.69</f>
        <v>124.05600000000001</v>
      </c>
      <c r="J20" s="18">
        <f t="shared" si="0"/>
        <v>156.31056000000001</v>
      </c>
      <c r="K20" s="18">
        <f>I20*0.95</f>
        <v>117.8532</v>
      </c>
      <c r="L20" s="18">
        <f>I20*0.5</f>
        <v>62.028000000000006</v>
      </c>
      <c r="M20" s="18">
        <f>J20+K20+L20</f>
        <v>336.19176000000004</v>
      </c>
    </row>
    <row r="21" spans="1:13" x14ac:dyDescent="0.2">
      <c r="A21" s="25">
        <v>8</v>
      </c>
      <c r="B21" s="8" t="s">
        <v>20</v>
      </c>
      <c r="C21" s="9"/>
      <c r="D21" s="25" t="s">
        <v>58</v>
      </c>
      <c r="E21" s="25">
        <v>12</v>
      </c>
      <c r="F21" s="25">
        <v>0.5</v>
      </c>
      <c r="G21" s="14">
        <v>2</v>
      </c>
      <c r="H21" s="14">
        <f>F21*E21</f>
        <v>6</v>
      </c>
      <c r="I21" s="18">
        <f>H21*51.69</f>
        <v>310.14</v>
      </c>
      <c r="J21" s="18">
        <f t="shared" si="0"/>
        <v>390.77639999999997</v>
      </c>
      <c r="K21" s="18">
        <f>I21*0.95</f>
        <v>294.63299999999998</v>
      </c>
      <c r="L21" s="18">
        <f>I21*0.5</f>
        <v>155.07</v>
      </c>
      <c r="M21" s="18">
        <f>J21+K21+L21</f>
        <v>840.47939999999994</v>
      </c>
    </row>
    <row r="22" spans="1:13" x14ac:dyDescent="0.2">
      <c r="A22" s="25">
        <v>9</v>
      </c>
      <c r="B22" s="8" t="s">
        <v>21</v>
      </c>
      <c r="C22" s="9"/>
      <c r="D22" s="25" t="s">
        <v>58</v>
      </c>
      <c r="E22" s="25">
        <v>12</v>
      </c>
      <c r="F22" s="25">
        <v>0.5</v>
      </c>
      <c r="G22" s="14">
        <v>2</v>
      </c>
      <c r="H22" s="14">
        <f>F22*E22</f>
        <v>6</v>
      </c>
      <c r="I22" s="18">
        <f>H22*51.69</f>
        <v>310.14</v>
      </c>
      <c r="J22" s="18">
        <f t="shared" si="0"/>
        <v>390.77639999999997</v>
      </c>
      <c r="K22" s="18">
        <f>I22*0.95</f>
        <v>294.63299999999998</v>
      </c>
      <c r="L22" s="18">
        <f>I22*0.5</f>
        <v>155.07</v>
      </c>
      <c r="M22" s="18">
        <f>J22+K22+L22</f>
        <v>840.47939999999994</v>
      </c>
    </row>
    <row r="23" spans="1:13" x14ac:dyDescent="0.2">
      <c r="A23" s="25">
        <v>10</v>
      </c>
      <c r="B23" s="8" t="s">
        <v>109</v>
      </c>
      <c r="C23" s="9"/>
      <c r="D23" s="25" t="s">
        <v>58</v>
      </c>
      <c r="E23" s="25">
        <v>12</v>
      </c>
      <c r="F23" s="25">
        <v>0.3</v>
      </c>
      <c r="G23" s="14">
        <v>2</v>
      </c>
      <c r="H23" s="14">
        <f>F23*E23</f>
        <v>3.5999999999999996</v>
      </c>
      <c r="I23" s="18">
        <f>H23*51.69</f>
        <v>186.08399999999997</v>
      </c>
      <c r="J23" s="27">
        <f t="shared" si="0"/>
        <v>234.46583999999996</v>
      </c>
      <c r="K23" s="27">
        <f>I23*0.95</f>
        <v>176.77979999999997</v>
      </c>
      <c r="L23" s="27">
        <f>I23*0.5</f>
        <v>93.041999999999987</v>
      </c>
      <c r="M23" s="27">
        <f>J23+K23+L23</f>
        <v>504.2876399999999</v>
      </c>
    </row>
    <row r="24" spans="1:13" x14ac:dyDescent="0.2">
      <c r="A24" s="20"/>
      <c r="B24" s="12" t="s">
        <v>108</v>
      </c>
      <c r="C24" s="13"/>
      <c r="D24" s="20"/>
      <c r="E24" s="20"/>
      <c r="F24" s="20"/>
      <c r="G24" s="16"/>
      <c r="H24" s="16"/>
      <c r="I24" s="28"/>
      <c r="J24" s="28"/>
      <c r="K24" s="28"/>
      <c r="L24" s="28"/>
      <c r="M24" s="28"/>
    </row>
    <row r="25" spans="1:13" x14ac:dyDescent="0.2">
      <c r="A25" s="25">
        <v>11</v>
      </c>
      <c r="B25" s="8" t="s">
        <v>110</v>
      </c>
      <c r="C25" s="9"/>
      <c r="D25" s="25" t="s">
        <v>58</v>
      </c>
      <c r="E25" s="25">
        <v>24</v>
      </c>
      <c r="F25" s="25">
        <v>0.3</v>
      </c>
      <c r="G25" s="14">
        <v>2</v>
      </c>
      <c r="H25" s="14">
        <f>F25*E25</f>
        <v>7.1999999999999993</v>
      </c>
      <c r="I25" s="18">
        <f>H25*51.69</f>
        <v>372.16799999999995</v>
      </c>
      <c r="J25" s="27">
        <f t="shared" si="0"/>
        <v>468.93167999999991</v>
      </c>
      <c r="K25" s="27">
        <f>I25*0.95</f>
        <v>353.55959999999993</v>
      </c>
      <c r="L25" s="27">
        <f>I25*0.5</f>
        <v>186.08399999999997</v>
      </c>
      <c r="M25" s="27">
        <f>J25+K25+L25</f>
        <v>1008.5752799999998</v>
      </c>
    </row>
    <row r="26" spans="1:13" x14ac:dyDescent="0.2">
      <c r="A26" s="20"/>
      <c r="B26" s="12" t="s">
        <v>23</v>
      </c>
      <c r="C26" s="13"/>
      <c r="D26" s="20"/>
      <c r="E26" s="20"/>
      <c r="F26" s="20"/>
      <c r="G26" s="16"/>
      <c r="H26" s="16"/>
      <c r="I26" s="28"/>
      <c r="J26" s="28"/>
      <c r="K26" s="28"/>
      <c r="L26" s="28"/>
      <c r="M26" s="28"/>
    </row>
    <row r="27" spans="1:13" x14ac:dyDescent="0.2">
      <c r="A27" s="25">
        <v>12</v>
      </c>
      <c r="B27" s="8" t="s">
        <v>113</v>
      </c>
      <c r="C27" s="9"/>
      <c r="D27" s="25" t="s">
        <v>58</v>
      </c>
      <c r="E27" s="25">
        <v>24</v>
      </c>
      <c r="F27" s="25">
        <v>0.15</v>
      </c>
      <c r="G27" s="14">
        <v>2</v>
      </c>
      <c r="H27" s="14">
        <f>F27*E27</f>
        <v>3.5999999999999996</v>
      </c>
      <c r="I27" s="18">
        <f>H27*51.69</f>
        <v>186.08399999999997</v>
      </c>
      <c r="J27" s="27">
        <f t="shared" si="0"/>
        <v>234.46583999999996</v>
      </c>
      <c r="K27" s="27">
        <f>I27*0.95</f>
        <v>176.77979999999997</v>
      </c>
      <c r="L27" s="27">
        <f>I27*0.5</f>
        <v>93.041999999999987</v>
      </c>
      <c r="M27" s="27">
        <f>J27+K27+L27</f>
        <v>504.2876399999999</v>
      </c>
    </row>
    <row r="28" spans="1:13" x14ac:dyDescent="0.2">
      <c r="A28" s="25">
        <v>13</v>
      </c>
      <c r="B28" s="8" t="s">
        <v>24</v>
      </c>
      <c r="C28" s="9"/>
      <c r="D28" s="25" t="s">
        <v>58</v>
      </c>
      <c r="E28" s="25">
        <v>24</v>
      </c>
      <c r="F28" s="25">
        <v>0.3</v>
      </c>
      <c r="G28" s="14">
        <v>2</v>
      </c>
      <c r="H28" s="14">
        <f>F28*E28</f>
        <v>7.1999999999999993</v>
      </c>
      <c r="I28" s="18">
        <f>H28*51.69</f>
        <v>372.16799999999995</v>
      </c>
      <c r="J28" s="27">
        <f t="shared" si="0"/>
        <v>468.93167999999991</v>
      </c>
      <c r="K28" s="27">
        <f>I28*0.95</f>
        <v>353.55959999999993</v>
      </c>
      <c r="L28" s="27">
        <f>I28*0.5</f>
        <v>186.08399999999997</v>
      </c>
      <c r="M28" s="27">
        <f>J28+K28+L28</f>
        <v>1008.5752799999998</v>
      </c>
    </row>
    <row r="29" spans="1:13" x14ac:dyDescent="0.2">
      <c r="A29" s="26"/>
      <c r="B29" s="10" t="s">
        <v>25</v>
      </c>
      <c r="C29" s="11"/>
      <c r="D29" s="26"/>
      <c r="E29" s="26"/>
      <c r="F29" s="26"/>
      <c r="G29" s="15"/>
      <c r="H29" s="15"/>
      <c r="I29" s="28"/>
      <c r="J29" s="28"/>
      <c r="K29" s="28"/>
      <c r="L29" s="28"/>
      <c r="M29" s="28"/>
    </row>
    <row r="30" spans="1:13" x14ac:dyDescent="0.2">
      <c r="A30" s="25">
        <v>14</v>
      </c>
      <c r="B30" s="8" t="s">
        <v>115</v>
      </c>
      <c r="C30" s="9"/>
      <c r="D30" s="25" t="s">
        <v>58</v>
      </c>
      <c r="E30" s="25">
        <v>2</v>
      </c>
      <c r="F30" s="25">
        <v>0.3</v>
      </c>
      <c r="G30" s="14">
        <v>2</v>
      </c>
      <c r="H30" s="14">
        <f>F30*E30</f>
        <v>0.6</v>
      </c>
      <c r="I30" s="18">
        <f>H30*51.69</f>
        <v>31.013999999999996</v>
      </c>
      <c r="J30" s="27">
        <f t="shared" si="0"/>
        <v>39.077639999999995</v>
      </c>
      <c r="K30" s="27">
        <f>I30*0.95</f>
        <v>29.463299999999993</v>
      </c>
      <c r="L30" s="27">
        <f>I30*0.5</f>
        <v>15.506999999999998</v>
      </c>
      <c r="M30" s="27">
        <f>J30+K30+L30</f>
        <v>84.047939999999983</v>
      </c>
    </row>
    <row r="31" spans="1:13" x14ac:dyDescent="0.2">
      <c r="A31" s="26"/>
      <c r="B31" s="10" t="s">
        <v>114</v>
      </c>
      <c r="C31" s="11"/>
      <c r="D31" s="26"/>
      <c r="E31" s="26"/>
      <c r="F31" s="26"/>
      <c r="G31" s="15"/>
      <c r="H31" s="15"/>
      <c r="I31" s="28"/>
      <c r="J31" s="28"/>
      <c r="K31" s="28"/>
      <c r="L31" s="28"/>
      <c r="M31" s="28"/>
    </row>
    <row r="32" spans="1:13" x14ac:dyDescent="0.2">
      <c r="A32" s="25">
        <v>15</v>
      </c>
      <c r="B32" s="8" t="s">
        <v>26</v>
      </c>
      <c r="C32" s="9"/>
      <c r="D32" s="25" t="s">
        <v>58</v>
      </c>
      <c r="E32" s="25">
        <v>24</v>
      </c>
      <c r="F32" s="25">
        <v>0.17</v>
      </c>
      <c r="G32" s="14">
        <v>2</v>
      </c>
      <c r="H32" s="14">
        <f>F32*E32</f>
        <v>4.08</v>
      </c>
      <c r="I32" s="18">
        <f>H32*51.69</f>
        <v>210.89519999999999</v>
      </c>
      <c r="J32" s="27">
        <f t="shared" si="0"/>
        <v>265.72795199999996</v>
      </c>
      <c r="K32" s="27">
        <f>I32*0.95</f>
        <v>200.35043999999999</v>
      </c>
      <c r="L32" s="27">
        <f>I32*0.5</f>
        <v>105.44759999999999</v>
      </c>
      <c r="M32" s="27">
        <f>J32+K32+L32</f>
        <v>571.52599199999997</v>
      </c>
    </row>
    <row r="33" spans="1:13" x14ac:dyDescent="0.2">
      <c r="A33" s="26"/>
      <c r="B33" s="10" t="s">
        <v>27</v>
      </c>
      <c r="C33" s="11"/>
      <c r="D33" s="26"/>
      <c r="E33" s="26"/>
      <c r="F33" s="26"/>
      <c r="G33" s="15"/>
      <c r="H33" s="15"/>
      <c r="I33" s="28"/>
      <c r="J33" s="28"/>
      <c r="K33" s="28"/>
      <c r="L33" s="28"/>
      <c r="M33" s="28"/>
    </row>
    <row r="34" spans="1:13" x14ac:dyDescent="0.2">
      <c r="A34" s="25">
        <v>16</v>
      </c>
      <c r="B34" s="8" t="s">
        <v>28</v>
      </c>
      <c r="C34" s="9"/>
      <c r="D34" s="25" t="s">
        <v>58</v>
      </c>
      <c r="E34" s="25">
        <v>2</v>
      </c>
      <c r="F34" s="25">
        <v>0.7</v>
      </c>
      <c r="G34" s="14">
        <v>2</v>
      </c>
      <c r="H34" s="14">
        <f>F34*E34</f>
        <v>1.4</v>
      </c>
      <c r="I34" s="18">
        <f>H34*51.69</f>
        <v>72.365999999999985</v>
      </c>
      <c r="J34" s="27">
        <f t="shared" si="0"/>
        <v>91.181159999999977</v>
      </c>
      <c r="K34" s="27">
        <f>I34*0.95</f>
        <v>68.74769999999998</v>
      </c>
      <c r="L34" s="27">
        <f>I34*0.5</f>
        <v>36.182999999999993</v>
      </c>
      <c r="M34" s="27">
        <f>J34+K34+L34</f>
        <v>196.11185999999995</v>
      </c>
    </row>
    <row r="35" spans="1:13" x14ac:dyDescent="0.2">
      <c r="A35" s="26"/>
      <c r="B35" s="10" t="s">
        <v>29</v>
      </c>
      <c r="C35" s="11"/>
      <c r="D35" s="20"/>
      <c r="E35" s="26"/>
      <c r="F35" s="26"/>
      <c r="G35" s="15"/>
      <c r="H35" s="16"/>
      <c r="I35" s="28"/>
      <c r="J35" s="28"/>
      <c r="K35" s="28"/>
      <c r="L35" s="28"/>
      <c r="M35" s="28"/>
    </row>
    <row r="36" spans="1:13" x14ac:dyDescent="0.2">
      <c r="A36" s="25">
        <v>17</v>
      </c>
      <c r="B36" s="8" t="s">
        <v>31</v>
      </c>
      <c r="C36" s="9"/>
      <c r="D36" s="25" t="s">
        <v>58</v>
      </c>
      <c r="E36" s="25">
        <v>12</v>
      </c>
      <c r="F36" s="25">
        <v>1.9</v>
      </c>
      <c r="G36" s="14">
        <v>2</v>
      </c>
      <c r="H36" s="14">
        <f>F36*E36</f>
        <v>22.799999999999997</v>
      </c>
      <c r="I36" s="18">
        <f>H36*51.69</f>
        <v>1178.5319999999997</v>
      </c>
      <c r="J36" s="27">
        <f t="shared" si="0"/>
        <v>1484.9503199999997</v>
      </c>
      <c r="K36" s="27">
        <f>I36*0.95</f>
        <v>1119.6053999999997</v>
      </c>
      <c r="L36" s="27">
        <f>I36*0.5</f>
        <v>589.26599999999985</v>
      </c>
      <c r="M36" s="27">
        <f>J36+K36+L36</f>
        <v>3193.821719999999</v>
      </c>
    </row>
    <row r="37" spans="1:13" x14ac:dyDescent="0.2">
      <c r="A37" s="26"/>
      <c r="B37" s="10" t="s">
        <v>116</v>
      </c>
      <c r="C37" s="11"/>
      <c r="D37" s="26"/>
      <c r="E37" s="26"/>
      <c r="F37" s="26"/>
      <c r="G37" s="15"/>
      <c r="H37" s="15"/>
      <c r="I37" s="29"/>
      <c r="J37" s="29"/>
      <c r="K37" s="29"/>
      <c r="L37" s="29"/>
      <c r="M37" s="29"/>
    </row>
    <row r="38" spans="1:13" x14ac:dyDescent="0.2">
      <c r="A38" s="25">
        <v>18</v>
      </c>
      <c r="B38" s="8" t="s">
        <v>30</v>
      </c>
      <c r="C38" s="9"/>
      <c r="D38" s="25" t="s">
        <v>58</v>
      </c>
      <c r="E38" s="25">
        <v>12</v>
      </c>
      <c r="F38" s="25">
        <v>0.15</v>
      </c>
      <c r="G38" s="14">
        <v>2</v>
      </c>
      <c r="H38" s="14">
        <f>F38*E38</f>
        <v>1.7999999999999998</v>
      </c>
      <c r="I38" s="18">
        <f>H38*51.69</f>
        <v>93.041999999999987</v>
      </c>
      <c r="J38" s="18">
        <f t="shared" si="0"/>
        <v>117.23291999999998</v>
      </c>
      <c r="K38" s="18">
        <f>I38*0.95</f>
        <v>88.389899999999983</v>
      </c>
      <c r="L38" s="18">
        <f>I38*0.5</f>
        <v>46.520999999999994</v>
      </c>
      <c r="M38" s="18">
        <f>J38+K38+L38</f>
        <v>252.14381999999995</v>
      </c>
    </row>
    <row r="39" spans="1:13" x14ac:dyDescent="0.2">
      <c r="A39" s="25">
        <v>19</v>
      </c>
      <c r="B39" s="8" t="s">
        <v>32</v>
      </c>
      <c r="C39" s="9"/>
      <c r="D39" s="25" t="s">
        <v>58</v>
      </c>
      <c r="E39" s="25">
        <v>12</v>
      </c>
      <c r="F39" s="25">
        <v>0.15</v>
      </c>
      <c r="G39" s="14">
        <v>2</v>
      </c>
      <c r="H39" s="14">
        <f>F39*E39</f>
        <v>1.7999999999999998</v>
      </c>
      <c r="I39" s="18">
        <f>H39*51.69</f>
        <v>93.041999999999987</v>
      </c>
      <c r="J39" s="18">
        <f t="shared" si="0"/>
        <v>117.23291999999998</v>
      </c>
      <c r="K39" s="18">
        <f>I39*0.95</f>
        <v>88.389899999999983</v>
      </c>
      <c r="L39" s="18">
        <f>I39*0.5</f>
        <v>46.520999999999994</v>
      </c>
      <c r="M39" s="18">
        <f>J39+K39+L39</f>
        <v>252.14381999999995</v>
      </c>
    </row>
    <row r="40" spans="1:13" x14ac:dyDescent="0.2">
      <c r="A40" s="25">
        <v>20</v>
      </c>
      <c r="B40" s="8" t="s">
        <v>117</v>
      </c>
      <c r="C40" s="9"/>
      <c r="D40" s="25" t="s">
        <v>58</v>
      </c>
      <c r="E40" s="25">
        <v>2</v>
      </c>
      <c r="F40" s="25">
        <v>0.2</v>
      </c>
      <c r="G40" s="14">
        <v>2</v>
      </c>
      <c r="H40" s="14">
        <f>F40*E40</f>
        <v>0.4</v>
      </c>
      <c r="I40" s="18">
        <f>H40*51.69</f>
        <v>20.676000000000002</v>
      </c>
      <c r="J40" s="18">
        <f t="shared" si="0"/>
        <v>26.051760000000002</v>
      </c>
      <c r="K40" s="18">
        <f>I40*0.95</f>
        <v>19.642200000000003</v>
      </c>
      <c r="L40" s="18">
        <f>I40*0.5</f>
        <v>10.338000000000001</v>
      </c>
      <c r="M40" s="18">
        <f>J40+K40+L40</f>
        <v>56.031960000000005</v>
      </c>
    </row>
    <row r="41" spans="1:13" x14ac:dyDescent="0.2">
      <c r="A41" s="35">
        <v>21</v>
      </c>
      <c r="B41" s="8" t="s">
        <v>33</v>
      </c>
      <c r="C41" s="9"/>
      <c r="D41" s="25" t="s">
        <v>58</v>
      </c>
      <c r="E41" s="25"/>
      <c r="F41" s="35">
        <v>0.17</v>
      </c>
      <c r="G41" s="19">
        <v>2</v>
      </c>
      <c r="H41" s="14">
        <f>F41*G41</f>
        <v>0.34</v>
      </c>
      <c r="I41" s="18">
        <f>H41*51.69</f>
        <v>17.5746</v>
      </c>
      <c r="J41" s="18">
        <f t="shared" si="0"/>
        <v>22.143996000000001</v>
      </c>
      <c r="K41" s="18">
        <f>I41*0.95</f>
        <v>16.695869999999999</v>
      </c>
      <c r="L41" s="18">
        <f>I41*0.5</f>
        <v>8.7873000000000001</v>
      </c>
      <c r="M41" s="18">
        <f>J41+K41+L41</f>
        <v>47.627166000000003</v>
      </c>
    </row>
    <row r="42" spans="1:13" x14ac:dyDescent="0.2">
      <c r="A42" s="25">
        <v>17</v>
      </c>
      <c r="B42" s="8" t="s">
        <v>34</v>
      </c>
      <c r="C42" s="9"/>
      <c r="D42" s="25" t="s">
        <v>58</v>
      </c>
      <c r="E42" s="25"/>
      <c r="F42" s="25">
        <v>0.15</v>
      </c>
      <c r="G42" s="14">
        <v>2</v>
      </c>
      <c r="H42" s="14">
        <f>F42*G42</f>
        <v>0.3</v>
      </c>
      <c r="I42" s="18">
        <f>H42*51.69</f>
        <v>15.506999999999998</v>
      </c>
      <c r="J42" s="27">
        <f t="shared" si="0"/>
        <v>19.538819999999998</v>
      </c>
      <c r="K42" s="27">
        <f>I42*0.95</f>
        <v>14.731649999999997</v>
      </c>
      <c r="L42" s="74">
        <f>I42*0.5</f>
        <v>7.7534999999999989</v>
      </c>
      <c r="M42" s="27">
        <f>J42+K42+L42</f>
        <v>42.023969999999991</v>
      </c>
    </row>
    <row r="43" spans="1:13" x14ac:dyDescent="0.2">
      <c r="A43" s="20"/>
      <c r="B43" s="10" t="s">
        <v>35</v>
      </c>
      <c r="C43" s="11"/>
      <c r="D43" s="20"/>
      <c r="E43" s="20"/>
      <c r="F43" s="20"/>
      <c r="G43" s="16"/>
      <c r="H43" s="12"/>
      <c r="I43" s="28"/>
      <c r="J43" s="28"/>
      <c r="K43" s="28"/>
      <c r="L43" s="28"/>
      <c r="M43" s="72"/>
    </row>
    <row r="44" spans="1:13" x14ac:dyDescent="0.2">
      <c r="A44" s="25">
        <v>18</v>
      </c>
      <c r="B44" s="338" t="s">
        <v>38</v>
      </c>
      <c r="C44" s="339"/>
      <c r="D44" s="25" t="s">
        <v>58</v>
      </c>
      <c r="E44" s="25"/>
      <c r="F44" s="25">
        <v>0.25</v>
      </c>
      <c r="G44" s="14">
        <v>2</v>
      </c>
      <c r="H44" s="14">
        <f>F44*G44</f>
        <v>0.5</v>
      </c>
      <c r="I44" s="18">
        <f>H44*51.69</f>
        <v>25.844999999999999</v>
      </c>
      <c r="J44" s="29">
        <f t="shared" si="0"/>
        <v>32.564700000000002</v>
      </c>
      <c r="K44" s="29">
        <f>I44*0.95</f>
        <v>24.552749999999996</v>
      </c>
      <c r="L44" s="29">
        <f>I44*0.5</f>
        <v>12.922499999999999</v>
      </c>
      <c r="M44" s="29">
        <f>J44+K44+L44</f>
        <v>70.039950000000005</v>
      </c>
    </row>
    <row r="45" spans="1:13" x14ac:dyDescent="0.2">
      <c r="A45" s="20"/>
      <c r="B45" s="342" t="s">
        <v>39</v>
      </c>
      <c r="C45" s="343"/>
      <c r="D45" s="20"/>
      <c r="E45" s="20"/>
      <c r="F45" s="20"/>
      <c r="G45" s="16"/>
      <c r="H45" s="16"/>
      <c r="I45" s="28"/>
      <c r="J45" s="72"/>
      <c r="K45" s="28"/>
      <c r="L45" s="28"/>
      <c r="M45" s="72"/>
    </row>
    <row r="46" spans="1:13" ht="22.5" customHeight="1" x14ac:dyDescent="0.2">
      <c r="A46" s="25">
        <v>19</v>
      </c>
      <c r="B46" s="338" t="s">
        <v>59</v>
      </c>
      <c r="C46" s="339"/>
      <c r="D46" s="25" t="s">
        <v>62</v>
      </c>
      <c r="E46" s="25"/>
      <c r="F46" s="44" t="s">
        <v>60</v>
      </c>
      <c r="G46" s="46">
        <v>2</v>
      </c>
      <c r="H46" s="46">
        <v>12.6</v>
      </c>
      <c r="I46" s="18">
        <f>H46*51.69</f>
        <v>651.29399999999998</v>
      </c>
      <c r="J46" s="75">
        <f t="shared" si="0"/>
        <v>820.63044000000002</v>
      </c>
      <c r="K46" s="75">
        <f>I46*0.95</f>
        <v>618.72929999999997</v>
      </c>
      <c r="L46" s="75">
        <f>I46*0.5</f>
        <v>325.64699999999999</v>
      </c>
      <c r="M46" s="75">
        <f>J46+K46+L46</f>
        <v>1765.0067399999998</v>
      </c>
    </row>
    <row r="47" spans="1:13" ht="12.75" customHeight="1" x14ac:dyDescent="0.2">
      <c r="A47" s="25">
        <v>20</v>
      </c>
      <c r="B47" s="338" t="s">
        <v>40</v>
      </c>
      <c r="C47" s="339"/>
      <c r="D47" s="348" t="s">
        <v>61</v>
      </c>
      <c r="E47" s="47"/>
      <c r="F47" s="344" t="s">
        <v>63</v>
      </c>
      <c r="G47" s="349">
        <v>2</v>
      </c>
      <c r="H47" s="349">
        <v>14.4</v>
      </c>
      <c r="I47" s="346">
        <v>31.014000000000003</v>
      </c>
      <c r="J47" s="346">
        <f t="shared" si="0"/>
        <v>39.077640000000002</v>
      </c>
      <c r="K47" s="346">
        <f>I47*0.95</f>
        <v>29.4633</v>
      </c>
      <c r="L47" s="346">
        <f>I47*0.5</f>
        <v>15.507000000000001</v>
      </c>
      <c r="M47" s="346">
        <f>J47+K47+L47</f>
        <v>84.047940000000011</v>
      </c>
    </row>
    <row r="48" spans="1:13" ht="10.5" customHeight="1" x14ac:dyDescent="0.2">
      <c r="A48" s="20"/>
      <c r="B48" s="342" t="s">
        <v>41</v>
      </c>
      <c r="C48" s="343"/>
      <c r="D48" s="345"/>
      <c r="E48" s="69"/>
      <c r="F48" s="345"/>
      <c r="G48" s="347"/>
      <c r="H48" s="347"/>
      <c r="I48" s="347"/>
      <c r="J48" s="347"/>
      <c r="K48" s="347"/>
      <c r="L48" s="347"/>
      <c r="M48" s="347"/>
    </row>
    <row r="49" spans="1:13" x14ac:dyDescent="0.2">
      <c r="A49" s="25">
        <v>21</v>
      </c>
      <c r="B49" s="338" t="s">
        <v>42</v>
      </c>
      <c r="C49" s="339"/>
      <c r="D49" s="348" t="s">
        <v>58</v>
      </c>
      <c r="E49" s="47"/>
      <c r="F49" s="348">
        <v>0.2</v>
      </c>
      <c r="G49" s="349">
        <v>2</v>
      </c>
      <c r="H49" s="349">
        <f>F49*G49</f>
        <v>0.4</v>
      </c>
      <c r="I49" s="346">
        <f>H49*51.69</f>
        <v>20.676000000000002</v>
      </c>
      <c r="J49" s="346">
        <f t="shared" si="0"/>
        <v>26.051760000000002</v>
      </c>
      <c r="K49" s="346">
        <f>I49*0.95</f>
        <v>19.642200000000003</v>
      </c>
      <c r="L49" s="346">
        <f>I49*0.5</f>
        <v>10.338000000000001</v>
      </c>
      <c r="M49" s="346">
        <f>J49+K49+L49</f>
        <v>56.031960000000005</v>
      </c>
    </row>
    <row r="50" spans="1:13" x14ac:dyDescent="0.2">
      <c r="A50" s="20"/>
      <c r="B50" s="342" t="s">
        <v>43</v>
      </c>
      <c r="C50" s="343"/>
      <c r="D50" s="345"/>
      <c r="E50" s="69"/>
      <c r="F50" s="345"/>
      <c r="G50" s="347"/>
      <c r="H50" s="347"/>
      <c r="I50" s="347"/>
      <c r="J50" s="347"/>
      <c r="K50" s="347"/>
      <c r="L50" s="347"/>
      <c r="M50" s="347"/>
    </row>
    <row r="51" spans="1:13" x14ac:dyDescent="0.2">
      <c r="A51" s="25">
        <v>22</v>
      </c>
      <c r="B51" s="338" t="s">
        <v>44</v>
      </c>
      <c r="C51" s="339"/>
      <c r="D51" s="348" t="s">
        <v>64</v>
      </c>
      <c r="E51" s="47"/>
      <c r="F51" s="344" t="s">
        <v>65</v>
      </c>
      <c r="G51" s="349">
        <v>2</v>
      </c>
      <c r="H51" s="349">
        <v>12.48</v>
      </c>
      <c r="I51" s="346">
        <v>31.014000000000003</v>
      </c>
      <c r="J51" s="346">
        <f t="shared" si="0"/>
        <v>39.077640000000002</v>
      </c>
      <c r="K51" s="346">
        <f>I51*0.95</f>
        <v>29.4633</v>
      </c>
      <c r="L51" s="346">
        <f>I51*0.5</f>
        <v>15.507000000000001</v>
      </c>
      <c r="M51" s="346">
        <f>J51+K51+L51</f>
        <v>84.047940000000011</v>
      </c>
    </row>
    <row r="52" spans="1:13" ht="10.5" customHeight="1" x14ac:dyDescent="0.2">
      <c r="A52" s="20"/>
      <c r="B52" s="342" t="s">
        <v>45</v>
      </c>
      <c r="C52" s="343"/>
      <c r="D52" s="345"/>
      <c r="E52" s="69"/>
      <c r="F52" s="350"/>
      <c r="G52" s="347"/>
      <c r="H52" s="347"/>
      <c r="I52" s="347"/>
      <c r="J52" s="347"/>
      <c r="K52" s="347"/>
      <c r="L52" s="347"/>
      <c r="M52" s="347"/>
    </row>
    <row r="53" spans="1:13" s="54" customFormat="1" x14ac:dyDescent="0.2">
      <c r="A53" s="49"/>
      <c r="B53" s="340" t="s">
        <v>66</v>
      </c>
      <c r="C53" s="341"/>
      <c r="D53" s="50"/>
      <c r="E53" s="50"/>
      <c r="F53" s="49"/>
      <c r="G53" s="51"/>
      <c r="H53" s="52">
        <f>SUM(H9:H52)</f>
        <v>145.09999999999997</v>
      </c>
      <c r="I53" s="18">
        <f>H53*51.69</f>
        <v>7500.2189999999982</v>
      </c>
      <c r="J53" s="18">
        <f>I53*1.26</f>
        <v>9450.2759399999977</v>
      </c>
      <c r="K53" s="18">
        <f>I53*0.95</f>
        <v>7125.2080499999984</v>
      </c>
      <c r="L53" s="18">
        <f>I53*0.5</f>
        <v>3750.1094999999991</v>
      </c>
      <c r="M53" s="18">
        <f>J53+K53+L53</f>
        <v>20325.593489999996</v>
      </c>
    </row>
    <row r="54" spans="1:13" x14ac:dyDescent="0.2">
      <c r="A54" s="262"/>
      <c r="B54" s="265" t="s">
        <v>46</v>
      </c>
      <c r="C54" s="323"/>
      <c r="D54" s="262"/>
      <c r="E54" s="25"/>
      <c r="F54" s="262"/>
      <c r="G54" s="262"/>
      <c r="H54" s="14">
        <f>H53*1.15</f>
        <v>166.86499999999995</v>
      </c>
      <c r="I54" s="28"/>
      <c r="J54" s="28"/>
      <c r="K54" s="28"/>
      <c r="L54" s="28"/>
      <c r="M54" s="39">
        <f>M53*1.15</f>
        <v>23374.432513499993</v>
      </c>
    </row>
    <row r="55" spans="1:13" x14ac:dyDescent="0.2">
      <c r="A55" s="281"/>
      <c r="B55" s="270" t="s">
        <v>67</v>
      </c>
      <c r="C55" s="324"/>
      <c r="D55" s="280"/>
      <c r="E55" s="26"/>
      <c r="F55" s="280"/>
      <c r="G55" s="280"/>
      <c r="H55" s="15"/>
      <c r="I55" s="23"/>
      <c r="J55" s="24"/>
      <c r="K55" s="23"/>
      <c r="L55" s="23"/>
      <c r="M55" s="29"/>
    </row>
    <row r="56" spans="1:13" ht="15" customHeight="1" x14ac:dyDescent="0.2">
      <c r="A56" s="20"/>
      <c r="B56" s="351" t="s">
        <v>68</v>
      </c>
      <c r="C56" s="352"/>
      <c r="D56" s="43"/>
      <c r="E56" s="43"/>
      <c r="F56" s="20"/>
      <c r="G56" s="20"/>
      <c r="H56" s="20"/>
      <c r="I56" s="27"/>
      <c r="J56" s="30"/>
      <c r="K56" s="27"/>
      <c r="L56" s="27"/>
      <c r="M56" s="28">
        <f>M54*3/100</f>
        <v>701.23297540499971</v>
      </c>
    </row>
    <row r="57" spans="1:13" x14ac:dyDescent="0.2">
      <c r="A57" s="20"/>
      <c r="B57" s="353" t="s">
        <v>49</v>
      </c>
      <c r="C57" s="354"/>
      <c r="D57" s="20" t="s">
        <v>103</v>
      </c>
      <c r="E57" s="20"/>
      <c r="F57" s="20">
        <v>83</v>
      </c>
      <c r="G57" s="355" t="s">
        <v>118</v>
      </c>
      <c r="H57" s="356"/>
      <c r="I57" s="29"/>
      <c r="J57" s="31"/>
      <c r="K57" s="29"/>
      <c r="L57" s="29"/>
      <c r="M57" s="18">
        <v>24900</v>
      </c>
    </row>
    <row r="58" spans="1:13" x14ac:dyDescent="0.2">
      <c r="A58" s="20"/>
      <c r="B58" s="357" t="s">
        <v>50</v>
      </c>
      <c r="C58" s="358"/>
      <c r="D58" s="20" t="s">
        <v>51</v>
      </c>
      <c r="E58" s="20"/>
      <c r="F58" s="20">
        <v>2</v>
      </c>
      <c r="G58" s="355" t="s">
        <v>120</v>
      </c>
      <c r="H58" s="356"/>
      <c r="I58" s="28"/>
      <c r="J58" s="32"/>
      <c r="K58" s="28"/>
      <c r="L58" s="28"/>
      <c r="M58" s="28">
        <v>1798.2</v>
      </c>
    </row>
    <row r="59" spans="1:13" x14ac:dyDescent="0.2">
      <c r="A59" s="20"/>
      <c r="B59" s="334" t="s">
        <v>72</v>
      </c>
      <c r="C59" s="335"/>
      <c r="D59" s="37"/>
      <c r="E59" s="37"/>
      <c r="F59" s="37"/>
      <c r="G59" s="45"/>
      <c r="H59" s="57"/>
      <c r="I59" s="18"/>
      <c r="J59" s="17"/>
      <c r="K59" s="18"/>
      <c r="L59" s="18"/>
      <c r="M59" s="33">
        <f>SUM(M54:M58)</f>
        <v>50773.865488904994</v>
      </c>
    </row>
    <row r="60" spans="1:13" x14ac:dyDescent="0.2">
      <c r="A60" s="58"/>
      <c r="B60" s="67"/>
      <c r="C60" s="67"/>
      <c r="D60" s="55"/>
      <c r="E60" s="55"/>
      <c r="F60" s="55"/>
      <c r="G60" s="55"/>
      <c r="H60" s="68"/>
    </row>
    <row r="61" spans="1:13" x14ac:dyDescent="0.2">
      <c r="A61" s="300" t="s">
        <v>74</v>
      </c>
      <c r="B61" s="337"/>
      <c r="C61" s="337"/>
      <c r="D61" s="337"/>
      <c r="E61" s="337"/>
      <c r="F61" s="337"/>
      <c r="G61" s="272" t="s">
        <v>119</v>
      </c>
      <c r="H61" s="272"/>
    </row>
    <row r="62" spans="1:13" x14ac:dyDescent="0.2">
      <c r="A62" s="65"/>
      <c r="B62" s="66"/>
      <c r="C62" s="66"/>
      <c r="D62" s="66"/>
      <c r="E62" s="66"/>
      <c r="F62" s="66"/>
      <c r="G62" s="55"/>
      <c r="H62" s="55"/>
    </row>
    <row r="63" spans="1:13" x14ac:dyDescent="0.2">
      <c r="A63" s="65"/>
      <c r="B63" s="66"/>
      <c r="C63" s="66"/>
      <c r="D63" s="66"/>
      <c r="E63" s="66"/>
      <c r="F63" s="66"/>
      <c r="G63" s="55"/>
      <c r="H63" s="55"/>
    </row>
    <row r="65" spans="1:7" x14ac:dyDescent="0.2">
      <c r="A65" t="s">
        <v>75</v>
      </c>
      <c r="D65"/>
      <c r="E65"/>
      <c r="F65"/>
      <c r="G65" t="s">
        <v>76</v>
      </c>
    </row>
    <row r="66" spans="1:7" x14ac:dyDescent="0.2">
      <c r="A66" t="s">
        <v>77</v>
      </c>
      <c r="D66"/>
      <c r="E66"/>
      <c r="F66"/>
      <c r="G66" t="s">
        <v>79</v>
      </c>
    </row>
    <row r="67" spans="1:7" x14ac:dyDescent="0.2">
      <c r="A67" t="s">
        <v>78</v>
      </c>
      <c r="D67"/>
      <c r="E67"/>
      <c r="F67"/>
      <c r="G67" t="s">
        <v>80</v>
      </c>
    </row>
    <row r="68" spans="1:7" x14ac:dyDescent="0.2">
      <c r="A68" t="s">
        <v>82</v>
      </c>
      <c r="D68"/>
      <c r="E68"/>
      <c r="F68"/>
      <c r="G68" t="s">
        <v>81</v>
      </c>
    </row>
  </sheetData>
  <mergeCells count="59">
    <mergeCell ref="B53:C53"/>
    <mergeCell ref="M49:M50"/>
    <mergeCell ref="M47:M48"/>
    <mergeCell ref="I51:I52"/>
    <mergeCell ref="J51:J52"/>
    <mergeCell ref="K51:K52"/>
    <mergeCell ref="L51:L52"/>
    <mergeCell ref="M51:M52"/>
    <mergeCell ref="I49:I50"/>
    <mergeCell ref="J49:J50"/>
    <mergeCell ref="K49:K50"/>
    <mergeCell ref="L49:L50"/>
    <mergeCell ref="I47:I48"/>
    <mergeCell ref="J47:J48"/>
    <mergeCell ref="K47:K48"/>
    <mergeCell ref="L47:L48"/>
    <mergeCell ref="B59:C59"/>
    <mergeCell ref="A61:F61"/>
    <mergeCell ref="G61:H61"/>
    <mergeCell ref="G54:G55"/>
    <mergeCell ref="B55:C55"/>
    <mergeCell ref="B56:C56"/>
    <mergeCell ref="B57:C57"/>
    <mergeCell ref="G57:H57"/>
    <mergeCell ref="A54:A55"/>
    <mergeCell ref="B54:C54"/>
    <mergeCell ref="B58:C58"/>
    <mergeCell ref="G58:H58"/>
    <mergeCell ref="D54:D55"/>
    <mergeCell ref="F54:F55"/>
    <mergeCell ref="B51:C51"/>
    <mergeCell ref="D51:D52"/>
    <mergeCell ref="F51:F52"/>
    <mergeCell ref="H49:H50"/>
    <mergeCell ref="B50:C50"/>
    <mergeCell ref="H51:H52"/>
    <mergeCell ref="B52:C52"/>
    <mergeCell ref="G51:G52"/>
    <mergeCell ref="B49:C49"/>
    <mergeCell ref="D49:D50"/>
    <mergeCell ref="F49:F50"/>
    <mergeCell ref="G49:G50"/>
    <mergeCell ref="A3:M3"/>
    <mergeCell ref="A5:A8"/>
    <mergeCell ref="B5:C8"/>
    <mergeCell ref="D5:D8"/>
    <mergeCell ref="F5:F8"/>
    <mergeCell ref="H47:H48"/>
    <mergeCell ref="G5:G8"/>
    <mergeCell ref="H5:H8"/>
    <mergeCell ref="E5:E7"/>
    <mergeCell ref="B44:C44"/>
    <mergeCell ref="B45:C45"/>
    <mergeCell ref="F47:F48"/>
    <mergeCell ref="G47:G48"/>
    <mergeCell ref="D47:D48"/>
    <mergeCell ref="B46:C46"/>
    <mergeCell ref="B47:C47"/>
    <mergeCell ref="B48:C48"/>
  </mergeCells>
  <phoneticPr fontId="3" type="noConversion"/>
  <pageMargins left="0.19685039370078741" right="0.19685039370078741" top="0.39370078740157483" bottom="0.39370078740157483" header="0" footer="0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opLeftCell="A36" workbookViewId="0">
      <selection activeCell="H57" sqref="H57"/>
    </sheetView>
  </sheetViews>
  <sheetFormatPr defaultRowHeight="12.75" x14ac:dyDescent="0.2"/>
  <cols>
    <col min="1" max="1" width="5" style="34" customWidth="1"/>
    <col min="3" max="3" width="24.42578125" customWidth="1"/>
    <col min="4" max="4" width="7.7109375" style="34" customWidth="1"/>
    <col min="5" max="5" width="11" style="34" customWidth="1"/>
    <col min="6" max="6" width="8" customWidth="1"/>
    <col min="7" max="7" width="9.5703125" customWidth="1"/>
    <col min="8" max="8" width="13.28515625" customWidth="1"/>
  </cols>
  <sheetData>
    <row r="1" spans="1:12" x14ac:dyDescent="0.2">
      <c r="A1"/>
      <c r="D1"/>
      <c r="E1"/>
      <c r="G1" t="s">
        <v>83</v>
      </c>
    </row>
    <row r="2" spans="1:12" x14ac:dyDescent="0.2">
      <c r="A2"/>
      <c r="D2"/>
      <c r="E2"/>
    </row>
    <row r="3" spans="1:12" x14ac:dyDescent="0.2">
      <c r="A3" s="272" t="s">
        <v>84</v>
      </c>
      <c r="B3" s="308"/>
      <c r="C3" s="308"/>
      <c r="D3" s="308"/>
      <c r="E3" s="308"/>
      <c r="F3" s="308"/>
      <c r="G3" s="308"/>
      <c r="H3" s="308"/>
      <c r="I3" s="58"/>
      <c r="J3" s="58"/>
      <c r="K3" s="58"/>
      <c r="L3" s="58"/>
    </row>
    <row r="4" spans="1:12" x14ac:dyDescent="0.2">
      <c r="A4" s="55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x14ac:dyDescent="0.2">
      <c r="A5" s="274" t="s">
        <v>52</v>
      </c>
      <c r="B5" s="275" t="s">
        <v>0</v>
      </c>
      <c r="C5" s="311"/>
      <c r="D5" s="274" t="s">
        <v>53</v>
      </c>
      <c r="E5" s="274" t="s">
        <v>54</v>
      </c>
      <c r="F5" s="274" t="s">
        <v>55</v>
      </c>
      <c r="G5" s="274" t="s">
        <v>56</v>
      </c>
      <c r="H5" s="274" t="s">
        <v>57</v>
      </c>
    </row>
    <row r="6" spans="1:12" x14ac:dyDescent="0.2">
      <c r="A6" s="309"/>
      <c r="B6" s="312"/>
      <c r="C6" s="313"/>
      <c r="D6" s="309"/>
      <c r="E6" s="309"/>
      <c r="F6" s="309"/>
      <c r="G6" s="309"/>
      <c r="H6" s="309"/>
    </row>
    <row r="7" spans="1:12" x14ac:dyDescent="0.2">
      <c r="A7" s="309"/>
      <c r="B7" s="312"/>
      <c r="C7" s="313"/>
      <c r="D7" s="309"/>
      <c r="E7" s="309"/>
      <c r="F7" s="309"/>
      <c r="G7" s="309"/>
      <c r="H7" s="309"/>
    </row>
    <row r="8" spans="1:12" ht="0.75" customHeight="1" x14ac:dyDescent="0.2">
      <c r="A8" s="310"/>
      <c r="B8" s="314"/>
      <c r="C8" s="315"/>
      <c r="D8" s="310"/>
      <c r="E8" s="310"/>
      <c r="F8" s="310"/>
      <c r="G8" s="310"/>
      <c r="H8" s="310"/>
    </row>
    <row r="9" spans="1:12" x14ac:dyDescent="0.2">
      <c r="A9" s="25">
        <v>1</v>
      </c>
      <c r="B9" s="8" t="s">
        <v>9</v>
      </c>
      <c r="C9" s="9"/>
      <c r="D9" s="25" t="s">
        <v>58</v>
      </c>
      <c r="E9" s="25">
        <v>0.1</v>
      </c>
      <c r="F9" s="14">
        <v>2</v>
      </c>
      <c r="G9" s="14">
        <v>0.2</v>
      </c>
      <c r="H9" s="18">
        <v>31.91</v>
      </c>
      <c r="K9" s="59"/>
    </row>
    <row r="10" spans="1:12" x14ac:dyDescent="0.2">
      <c r="A10" s="25">
        <v>2</v>
      </c>
      <c r="B10" s="8" t="s">
        <v>11</v>
      </c>
      <c r="C10" s="9"/>
      <c r="D10" s="25" t="s">
        <v>58</v>
      </c>
      <c r="E10" s="25">
        <v>0.1</v>
      </c>
      <c r="F10" s="14">
        <v>2</v>
      </c>
      <c r="G10" s="14">
        <v>0.2</v>
      </c>
      <c r="H10" s="18">
        <v>31.91</v>
      </c>
      <c r="K10" s="59"/>
    </row>
    <row r="11" spans="1:12" x14ac:dyDescent="0.2">
      <c r="A11" s="25">
        <v>3</v>
      </c>
      <c r="B11" s="8" t="s">
        <v>12</v>
      </c>
      <c r="C11" s="9"/>
      <c r="D11" s="25" t="s">
        <v>58</v>
      </c>
      <c r="E11" s="25">
        <v>1.8</v>
      </c>
      <c r="F11" s="14">
        <v>2</v>
      </c>
      <c r="G11" s="14">
        <v>3.6</v>
      </c>
      <c r="H11" s="27">
        <v>574.42999999999995</v>
      </c>
      <c r="K11" s="59"/>
    </row>
    <row r="12" spans="1:12" x14ac:dyDescent="0.2">
      <c r="A12" s="26"/>
      <c r="B12" s="10" t="s">
        <v>13</v>
      </c>
      <c r="C12" s="11"/>
      <c r="D12" s="26"/>
      <c r="E12" s="26"/>
      <c r="F12" s="15"/>
      <c r="G12" s="15"/>
      <c r="H12" s="28"/>
      <c r="K12" s="70"/>
    </row>
    <row r="13" spans="1:12" x14ac:dyDescent="0.2">
      <c r="A13" s="25">
        <v>4</v>
      </c>
      <c r="B13" s="8" t="s">
        <v>14</v>
      </c>
      <c r="C13" s="9"/>
      <c r="D13" s="25" t="s">
        <v>58</v>
      </c>
      <c r="E13" s="25">
        <v>2.4</v>
      </c>
      <c r="F13" s="14">
        <v>2</v>
      </c>
      <c r="G13" s="14">
        <v>4.8</v>
      </c>
      <c r="H13" s="27">
        <v>765.91</v>
      </c>
      <c r="K13" s="70"/>
    </row>
    <row r="14" spans="1:12" x14ac:dyDescent="0.2">
      <c r="A14" s="26"/>
      <c r="B14" s="10" t="s">
        <v>15</v>
      </c>
      <c r="C14" s="11"/>
      <c r="D14" s="26"/>
      <c r="E14" s="26"/>
      <c r="F14" s="15"/>
      <c r="G14" s="15"/>
      <c r="H14" s="29"/>
    </row>
    <row r="15" spans="1:12" x14ac:dyDescent="0.2">
      <c r="A15" s="26"/>
      <c r="B15" s="10" t="s">
        <v>13</v>
      </c>
      <c r="C15" s="11"/>
      <c r="D15" s="26"/>
      <c r="E15" s="26"/>
      <c r="F15" s="15"/>
      <c r="G15" s="15"/>
      <c r="H15" s="28"/>
    </row>
    <row r="16" spans="1:12" x14ac:dyDescent="0.2">
      <c r="A16" s="25">
        <v>5</v>
      </c>
      <c r="B16" s="8" t="s">
        <v>16</v>
      </c>
      <c r="C16" s="9"/>
      <c r="D16" s="25" t="s">
        <v>58</v>
      </c>
      <c r="E16" s="25">
        <v>1.8</v>
      </c>
      <c r="F16" s="14">
        <v>2</v>
      </c>
      <c r="G16" s="14">
        <v>3.6</v>
      </c>
      <c r="H16" s="27">
        <v>574.42999999999995</v>
      </c>
    </row>
    <row r="17" spans="1:8" x14ac:dyDescent="0.2">
      <c r="A17" s="26"/>
      <c r="B17" s="10" t="s">
        <v>17</v>
      </c>
      <c r="C17" s="11"/>
      <c r="D17" s="26"/>
      <c r="E17" s="26"/>
      <c r="F17" s="15"/>
      <c r="G17" s="15"/>
      <c r="H17" s="28"/>
    </row>
    <row r="18" spans="1:8" x14ac:dyDescent="0.2">
      <c r="A18" s="25">
        <v>6</v>
      </c>
      <c r="B18" s="8" t="s">
        <v>18</v>
      </c>
      <c r="C18" s="9"/>
      <c r="D18" s="25" t="s">
        <v>58</v>
      </c>
      <c r="E18" s="25">
        <v>0.3</v>
      </c>
      <c r="F18" s="14">
        <v>2</v>
      </c>
      <c r="G18" s="14">
        <v>0.6</v>
      </c>
      <c r="H18" s="27">
        <v>95.74</v>
      </c>
    </row>
    <row r="19" spans="1:8" x14ac:dyDescent="0.2">
      <c r="A19" s="26"/>
      <c r="B19" s="10" t="s">
        <v>19</v>
      </c>
      <c r="C19" s="11"/>
      <c r="D19" s="26"/>
      <c r="E19" s="26"/>
      <c r="F19" s="15"/>
      <c r="G19" s="15"/>
      <c r="H19" s="28"/>
    </row>
    <row r="20" spans="1:8" x14ac:dyDescent="0.2">
      <c r="A20" s="25">
        <v>7</v>
      </c>
      <c r="B20" s="8" t="s">
        <v>20</v>
      </c>
      <c r="C20" s="9"/>
      <c r="D20" s="25" t="s">
        <v>58</v>
      </c>
      <c r="E20" s="25">
        <v>0.75</v>
      </c>
      <c r="F20" s="14">
        <v>2</v>
      </c>
      <c r="G20" s="14">
        <v>1.5</v>
      </c>
      <c r="H20" s="18">
        <v>239.35</v>
      </c>
    </row>
    <row r="21" spans="1:8" x14ac:dyDescent="0.2">
      <c r="A21" s="25">
        <v>8</v>
      </c>
      <c r="B21" s="8" t="s">
        <v>21</v>
      </c>
      <c r="C21" s="9"/>
      <c r="D21" s="25" t="s">
        <v>58</v>
      </c>
      <c r="E21" s="25">
        <v>1.3</v>
      </c>
      <c r="F21" s="14">
        <v>2</v>
      </c>
      <c r="G21" s="14">
        <v>2.6</v>
      </c>
      <c r="H21" s="18">
        <v>414.87</v>
      </c>
    </row>
    <row r="22" spans="1:8" x14ac:dyDescent="0.2">
      <c r="A22" s="25">
        <v>9</v>
      </c>
      <c r="B22" s="8" t="s">
        <v>18</v>
      </c>
      <c r="C22" s="9"/>
      <c r="D22" s="25" t="s">
        <v>58</v>
      </c>
      <c r="E22" s="25">
        <v>0.3</v>
      </c>
      <c r="F22" s="14">
        <v>2</v>
      </c>
      <c r="G22" s="14">
        <v>0.6</v>
      </c>
      <c r="H22" s="27">
        <v>95.74</v>
      </c>
    </row>
    <row r="23" spans="1:8" x14ac:dyDescent="0.2">
      <c r="A23" s="26"/>
      <c r="B23" s="10" t="s">
        <v>22</v>
      </c>
      <c r="C23" s="11"/>
      <c r="D23" s="26"/>
      <c r="E23" s="26"/>
      <c r="F23" s="15"/>
      <c r="G23" s="15"/>
      <c r="H23" s="29"/>
    </row>
    <row r="24" spans="1:8" x14ac:dyDescent="0.2">
      <c r="A24" s="20"/>
      <c r="B24" s="12" t="s">
        <v>23</v>
      </c>
      <c r="C24" s="13"/>
      <c r="D24" s="20"/>
      <c r="E24" s="20"/>
      <c r="F24" s="16"/>
      <c r="G24" s="16"/>
      <c r="H24" s="28"/>
    </row>
    <row r="25" spans="1:8" x14ac:dyDescent="0.2">
      <c r="A25" s="25">
        <v>10</v>
      </c>
      <c r="B25" s="8" t="s">
        <v>24</v>
      </c>
      <c r="C25" s="9"/>
      <c r="D25" s="25" t="s">
        <v>58</v>
      </c>
      <c r="E25" s="25">
        <v>0.3</v>
      </c>
      <c r="F25" s="14">
        <v>2</v>
      </c>
      <c r="G25" s="14">
        <v>0.6</v>
      </c>
      <c r="H25" s="27">
        <v>95.74</v>
      </c>
    </row>
    <row r="26" spans="1:8" x14ac:dyDescent="0.2">
      <c r="A26" s="26"/>
      <c r="B26" s="10" t="s">
        <v>25</v>
      </c>
      <c r="C26" s="11"/>
      <c r="D26" s="26"/>
      <c r="E26" s="26"/>
      <c r="F26" s="15"/>
      <c r="G26" s="15"/>
      <c r="H26" s="28"/>
    </row>
    <row r="27" spans="1:8" x14ac:dyDescent="0.2">
      <c r="A27" s="25">
        <v>11</v>
      </c>
      <c r="B27" s="8" t="s">
        <v>26</v>
      </c>
      <c r="C27" s="9"/>
      <c r="D27" s="25" t="s">
        <v>58</v>
      </c>
      <c r="E27" s="25">
        <v>0.17</v>
      </c>
      <c r="F27" s="14">
        <v>2</v>
      </c>
      <c r="G27" s="14">
        <v>0.34</v>
      </c>
      <c r="H27" s="27">
        <v>54.25</v>
      </c>
    </row>
    <row r="28" spans="1:8" x14ac:dyDescent="0.2">
      <c r="A28" s="26"/>
      <c r="B28" s="10" t="s">
        <v>27</v>
      </c>
      <c r="C28" s="11"/>
      <c r="D28" s="26"/>
      <c r="E28" s="26"/>
      <c r="F28" s="15"/>
      <c r="G28" s="15"/>
      <c r="H28" s="28"/>
    </row>
    <row r="29" spans="1:8" x14ac:dyDescent="0.2">
      <c r="A29" s="25">
        <v>12</v>
      </c>
      <c r="B29" s="8" t="s">
        <v>28</v>
      </c>
      <c r="C29" s="9"/>
      <c r="D29" s="25" t="s">
        <v>58</v>
      </c>
      <c r="E29" s="25">
        <v>2.8</v>
      </c>
      <c r="F29" s="14">
        <v>2</v>
      </c>
      <c r="G29" s="14">
        <f>E29*F29</f>
        <v>5.6</v>
      </c>
      <c r="H29" s="27">
        <v>893.56</v>
      </c>
    </row>
    <row r="30" spans="1:8" x14ac:dyDescent="0.2">
      <c r="A30" s="26"/>
      <c r="B30" s="10" t="s">
        <v>29</v>
      </c>
      <c r="C30" s="11"/>
      <c r="D30" s="20"/>
      <c r="E30" s="26"/>
      <c r="F30" s="15"/>
      <c r="G30" s="16"/>
      <c r="H30" s="28"/>
    </row>
    <row r="31" spans="1:8" x14ac:dyDescent="0.2">
      <c r="A31" s="25">
        <v>13</v>
      </c>
      <c r="B31" s="8" t="s">
        <v>30</v>
      </c>
      <c r="C31" s="9"/>
      <c r="D31" s="25" t="s">
        <v>58</v>
      </c>
      <c r="E31" s="25">
        <v>0.25</v>
      </c>
      <c r="F31" s="14">
        <v>2</v>
      </c>
      <c r="G31" s="14">
        <f t="shared" ref="G31:G43" si="0">E31*F31</f>
        <v>0.5</v>
      </c>
      <c r="H31" s="18">
        <v>79.78</v>
      </c>
    </row>
    <row r="32" spans="1:8" x14ac:dyDescent="0.2">
      <c r="A32" s="25">
        <v>14</v>
      </c>
      <c r="B32" s="8" t="s">
        <v>31</v>
      </c>
      <c r="C32" s="9"/>
      <c r="D32" s="25" t="s">
        <v>58</v>
      </c>
      <c r="E32" s="25">
        <v>4.8</v>
      </c>
      <c r="F32" s="14">
        <v>2</v>
      </c>
      <c r="G32" s="14">
        <f t="shared" si="0"/>
        <v>9.6</v>
      </c>
      <c r="H32" s="27">
        <v>1531.82</v>
      </c>
    </row>
    <row r="33" spans="1:8" x14ac:dyDescent="0.2">
      <c r="A33" s="26"/>
      <c r="B33" s="10" t="s">
        <v>71</v>
      </c>
      <c r="C33" s="11"/>
      <c r="D33" s="26"/>
      <c r="E33" s="26"/>
      <c r="F33" s="15"/>
      <c r="G33" s="15"/>
      <c r="H33" s="29"/>
    </row>
    <row r="34" spans="1:8" x14ac:dyDescent="0.2">
      <c r="A34" s="25">
        <v>15</v>
      </c>
      <c r="B34" s="8" t="s">
        <v>32</v>
      </c>
      <c r="C34" s="9"/>
      <c r="D34" s="25" t="s">
        <v>58</v>
      </c>
      <c r="E34" s="25">
        <v>0.35</v>
      </c>
      <c r="F34" s="14">
        <v>2</v>
      </c>
      <c r="G34" s="14">
        <f t="shared" si="0"/>
        <v>0.7</v>
      </c>
      <c r="H34" s="18">
        <v>111.7</v>
      </c>
    </row>
    <row r="35" spans="1:8" x14ac:dyDescent="0.2">
      <c r="A35" s="35">
        <v>16</v>
      </c>
      <c r="B35" s="8" t="s">
        <v>33</v>
      </c>
      <c r="C35" s="9"/>
      <c r="D35" s="25" t="s">
        <v>58</v>
      </c>
      <c r="E35" s="35">
        <v>0.17</v>
      </c>
      <c r="F35" s="19">
        <v>2</v>
      </c>
      <c r="G35" s="14">
        <f t="shared" si="0"/>
        <v>0.34</v>
      </c>
      <c r="H35" s="18">
        <v>54.25</v>
      </c>
    </row>
    <row r="36" spans="1:8" x14ac:dyDescent="0.2">
      <c r="A36" s="25">
        <v>17</v>
      </c>
      <c r="B36" s="8" t="s">
        <v>34</v>
      </c>
      <c r="C36" s="9"/>
      <c r="D36" s="25" t="s">
        <v>58</v>
      </c>
      <c r="E36" s="25">
        <v>0.15</v>
      </c>
      <c r="F36" s="14">
        <v>2</v>
      </c>
      <c r="G36" s="14">
        <f t="shared" si="0"/>
        <v>0.3</v>
      </c>
      <c r="H36" s="27">
        <v>47.87</v>
      </c>
    </row>
    <row r="37" spans="1:8" x14ac:dyDescent="0.2">
      <c r="A37" s="20"/>
      <c r="B37" s="10" t="s">
        <v>35</v>
      </c>
      <c r="C37" s="11"/>
      <c r="D37" s="20"/>
      <c r="E37" s="20"/>
      <c r="F37" s="16"/>
      <c r="G37" s="16"/>
      <c r="H37" s="28"/>
    </row>
    <row r="38" spans="1:8" x14ac:dyDescent="0.2">
      <c r="A38" s="25">
        <v>18</v>
      </c>
      <c r="B38" s="338" t="s">
        <v>38</v>
      </c>
      <c r="C38" s="339"/>
      <c r="D38" s="25" t="s">
        <v>58</v>
      </c>
      <c r="E38" s="25">
        <v>0.25</v>
      </c>
      <c r="F38" s="14">
        <v>2</v>
      </c>
      <c r="G38" s="14">
        <f t="shared" si="0"/>
        <v>0.5</v>
      </c>
      <c r="H38" s="27">
        <v>79.78</v>
      </c>
    </row>
    <row r="39" spans="1:8" x14ac:dyDescent="0.2">
      <c r="A39" s="20"/>
      <c r="B39" s="342" t="s">
        <v>39</v>
      </c>
      <c r="C39" s="343"/>
      <c r="D39" s="20"/>
      <c r="E39" s="20"/>
      <c r="F39" s="16"/>
      <c r="G39" s="16"/>
      <c r="H39" s="28"/>
    </row>
    <row r="40" spans="1:8" ht="22.5" customHeight="1" x14ac:dyDescent="0.2">
      <c r="A40" s="25">
        <v>19</v>
      </c>
      <c r="B40" s="338" t="s">
        <v>59</v>
      </c>
      <c r="C40" s="339"/>
      <c r="D40" s="25" t="s">
        <v>62</v>
      </c>
      <c r="E40" s="44" t="s">
        <v>60</v>
      </c>
      <c r="F40" s="14">
        <v>2</v>
      </c>
      <c r="G40" s="14">
        <v>12.6</v>
      </c>
      <c r="H40" s="27">
        <v>2010.52</v>
      </c>
    </row>
    <row r="41" spans="1:8" ht="12.75" customHeight="1" x14ac:dyDescent="0.2">
      <c r="A41" s="25">
        <v>20</v>
      </c>
      <c r="B41" s="338" t="s">
        <v>40</v>
      </c>
      <c r="C41" s="339"/>
      <c r="D41" s="348" t="s">
        <v>61</v>
      </c>
      <c r="E41" s="344" t="s">
        <v>63</v>
      </c>
      <c r="F41" s="349">
        <v>2</v>
      </c>
      <c r="G41" s="349">
        <v>14.4</v>
      </c>
      <c r="H41" s="346">
        <v>2297.73</v>
      </c>
    </row>
    <row r="42" spans="1:8" ht="10.5" customHeight="1" x14ac:dyDescent="0.2">
      <c r="A42" s="20"/>
      <c r="B42" s="342" t="s">
        <v>41</v>
      </c>
      <c r="C42" s="343"/>
      <c r="D42" s="345"/>
      <c r="E42" s="345"/>
      <c r="F42" s="347"/>
      <c r="G42" s="347"/>
      <c r="H42" s="347"/>
    </row>
    <row r="43" spans="1:8" x14ac:dyDescent="0.2">
      <c r="A43" s="25">
        <v>21</v>
      </c>
      <c r="B43" s="338" t="s">
        <v>42</v>
      </c>
      <c r="C43" s="339"/>
      <c r="D43" s="348" t="s">
        <v>58</v>
      </c>
      <c r="E43" s="348">
        <v>0.2</v>
      </c>
      <c r="F43" s="349">
        <v>2</v>
      </c>
      <c r="G43" s="349">
        <f t="shared" si="0"/>
        <v>0.4</v>
      </c>
      <c r="H43" s="346">
        <v>63.83</v>
      </c>
    </row>
    <row r="44" spans="1:8" x14ac:dyDescent="0.2">
      <c r="A44" s="20"/>
      <c r="B44" s="342" t="s">
        <v>43</v>
      </c>
      <c r="C44" s="343"/>
      <c r="D44" s="345"/>
      <c r="E44" s="345"/>
      <c r="F44" s="347"/>
      <c r="G44" s="347"/>
      <c r="H44" s="347"/>
    </row>
    <row r="45" spans="1:8" x14ac:dyDescent="0.2">
      <c r="A45" s="25">
        <v>22</v>
      </c>
      <c r="B45" s="338" t="s">
        <v>44</v>
      </c>
      <c r="C45" s="339"/>
      <c r="D45" s="348" t="s">
        <v>64</v>
      </c>
      <c r="E45" s="344" t="s">
        <v>65</v>
      </c>
      <c r="F45" s="349">
        <v>2</v>
      </c>
      <c r="G45" s="349">
        <v>12.48</v>
      </c>
      <c r="H45" s="346">
        <v>1991.37</v>
      </c>
    </row>
    <row r="46" spans="1:8" ht="10.5" customHeight="1" x14ac:dyDescent="0.2">
      <c r="A46" s="20"/>
      <c r="B46" s="342" t="s">
        <v>45</v>
      </c>
      <c r="C46" s="343"/>
      <c r="D46" s="345"/>
      <c r="E46" s="350"/>
      <c r="F46" s="347"/>
      <c r="G46" s="347"/>
      <c r="H46" s="347"/>
    </row>
    <row r="47" spans="1:8" s="54" customFormat="1" x14ac:dyDescent="0.2">
      <c r="A47" s="49"/>
      <c r="B47" s="340" t="s">
        <v>66</v>
      </c>
      <c r="C47" s="341"/>
      <c r="D47" s="50"/>
      <c r="E47" s="49"/>
      <c r="F47" s="51"/>
      <c r="G47" s="52">
        <f>SUM(G9:G46)</f>
        <v>76.06</v>
      </c>
      <c r="H47" s="53">
        <v>12136.5</v>
      </c>
    </row>
    <row r="48" spans="1:8" x14ac:dyDescent="0.2">
      <c r="A48" s="262"/>
      <c r="B48" s="265" t="s">
        <v>46</v>
      </c>
      <c r="C48" s="323"/>
      <c r="D48" s="262"/>
      <c r="E48" s="262"/>
      <c r="F48" s="262"/>
      <c r="G48" s="14">
        <f>G47*1.15</f>
        <v>87.468999999999994</v>
      </c>
      <c r="H48" s="42">
        <f>H47*1.15</f>
        <v>13956.974999999999</v>
      </c>
    </row>
    <row r="49" spans="1:8" x14ac:dyDescent="0.2">
      <c r="A49" s="281"/>
      <c r="B49" s="270" t="s">
        <v>67</v>
      </c>
      <c r="C49" s="324"/>
      <c r="D49" s="280"/>
      <c r="E49" s="280"/>
      <c r="F49" s="280"/>
      <c r="G49" s="15"/>
      <c r="H49" s="29"/>
    </row>
    <row r="50" spans="1:8" ht="15" customHeight="1" x14ac:dyDescent="0.2">
      <c r="A50" s="20"/>
      <c r="B50" s="351" t="s">
        <v>68</v>
      </c>
      <c r="C50" s="352"/>
      <c r="D50" s="43"/>
      <c r="E50" s="20"/>
      <c r="F50" s="20"/>
      <c r="G50" s="20"/>
      <c r="H50" s="28">
        <f>H48*3/100</f>
        <v>418.70924999999994</v>
      </c>
    </row>
    <row r="51" spans="1:8" x14ac:dyDescent="0.2">
      <c r="A51" s="20"/>
      <c r="B51" s="353" t="s">
        <v>49</v>
      </c>
      <c r="C51" s="354"/>
      <c r="D51" s="20" t="s">
        <v>103</v>
      </c>
      <c r="E51" s="20">
        <v>11</v>
      </c>
      <c r="F51" s="355" t="s">
        <v>69</v>
      </c>
      <c r="G51" s="356"/>
      <c r="H51" s="18">
        <v>3300</v>
      </c>
    </row>
    <row r="52" spans="1:8" x14ac:dyDescent="0.2">
      <c r="A52" s="20"/>
      <c r="B52" s="357" t="s">
        <v>50</v>
      </c>
      <c r="C52" s="358"/>
      <c r="D52" s="20" t="s">
        <v>51</v>
      </c>
      <c r="E52" s="20">
        <v>2</v>
      </c>
      <c r="F52" s="355" t="s">
        <v>70</v>
      </c>
      <c r="G52" s="356"/>
      <c r="H52" s="28">
        <v>965.7</v>
      </c>
    </row>
    <row r="53" spans="1:8" x14ac:dyDescent="0.2">
      <c r="A53" s="20"/>
      <c r="B53" s="334" t="s">
        <v>72</v>
      </c>
      <c r="C53" s="335"/>
      <c r="D53" s="37"/>
      <c r="E53" s="37"/>
      <c r="F53" s="45"/>
      <c r="G53" s="57"/>
      <c r="H53" s="33">
        <v>18641.39</v>
      </c>
    </row>
    <row r="54" spans="1:8" x14ac:dyDescent="0.2">
      <c r="A54" s="58"/>
      <c r="B54" s="67"/>
      <c r="C54" s="67"/>
      <c r="D54" s="55"/>
      <c r="E54" s="55"/>
      <c r="F54" s="55"/>
      <c r="G54" s="68"/>
      <c r="H54" s="56"/>
    </row>
    <row r="55" spans="1:8" x14ac:dyDescent="0.2">
      <c r="A55" s="300" t="s">
        <v>74</v>
      </c>
      <c r="B55" s="337"/>
      <c r="C55" s="337"/>
      <c r="D55" s="337"/>
      <c r="E55" s="337"/>
      <c r="F55" s="272" t="s">
        <v>73</v>
      </c>
      <c r="G55" s="272"/>
      <c r="H55" s="56">
        <v>1155766.18</v>
      </c>
    </row>
    <row r="56" spans="1:8" x14ac:dyDescent="0.2">
      <c r="A56" s="65"/>
      <c r="B56" s="66"/>
      <c r="C56" s="66"/>
      <c r="D56" s="66"/>
      <c r="E56" s="66"/>
      <c r="F56" s="55"/>
      <c r="G56" s="55"/>
      <c r="H56" s="56"/>
    </row>
    <row r="57" spans="1:8" x14ac:dyDescent="0.2">
      <c r="A57" s="65"/>
      <c r="B57" s="66"/>
      <c r="C57" s="66"/>
      <c r="D57" s="66"/>
      <c r="E57" s="66"/>
      <c r="F57" s="55"/>
      <c r="G57" s="55"/>
      <c r="H57" s="56"/>
    </row>
    <row r="59" spans="1:8" x14ac:dyDescent="0.2">
      <c r="A59" t="s">
        <v>75</v>
      </c>
      <c r="D59"/>
      <c r="E59"/>
      <c r="F59" t="s">
        <v>76</v>
      </c>
    </row>
    <row r="60" spans="1:8" x14ac:dyDescent="0.2">
      <c r="A60" t="s">
        <v>77</v>
      </c>
      <c r="D60"/>
      <c r="E60"/>
      <c r="F60" t="s">
        <v>79</v>
      </c>
    </row>
    <row r="61" spans="1:8" x14ac:dyDescent="0.2">
      <c r="A61" t="s">
        <v>78</v>
      </c>
      <c r="D61"/>
      <c r="E61"/>
      <c r="F61" t="s">
        <v>80</v>
      </c>
    </row>
    <row r="62" spans="1:8" x14ac:dyDescent="0.2">
      <c r="A62" t="s">
        <v>82</v>
      </c>
      <c r="D62"/>
      <c r="E62"/>
      <c r="F62" t="s">
        <v>81</v>
      </c>
    </row>
  </sheetData>
  <mergeCells count="47">
    <mergeCell ref="F52:G52"/>
    <mergeCell ref="G43:G44"/>
    <mergeCell ref="H43:H44"/>
    <mergeCell ref="H45:H46"/>
    <mergeCell ref="F43:F44"/>
    <mergeCell ref="F45:F46"/>
    <mergeCell ref="G45:G46"/>
    <mergeCell ref="F51:G51"/>
    <mergeCell ref="A5:A8"/>
    <mergeCell ref="B5:C8"/>
    <mergeCell ref="D5:D8"/>
    <mergeCell ref="D45:D46"/>
    <mergeCell ref="B38:C38"/>
    <mergeCell ref="D43:D44"/>
    <mergeCell ref="B39:C39"/>
    <mergeCell ref="B40:C40"/>
    <mergeCell ref="B41:C41"/>
    <mergeCell ref="B42:C42"/>
    <mergeCell ref="B46:C46"/>
    <mergeCell ref="B47:C47"/>
    <mergeCell ref="H5:H8"/>
    <mergeCell ref="D41:D42"/>
    <mergeCell ref="E41:E42"/>
    <mergeCell ref="F41:F42"/>
    <mergeCell ref="G41:G42"/>
    <mergeCell ref="H41:H42"/>
    <mergeCell ref="E5:E8"/>
    <mergeCell ref="F5:F8"/>
    <mergeCell ref="G5:G8"/>
    <mergeCell ref="E45:E46"/>
    <mergeCell ref="E43:E44"/>
    <mergeCell ref="F55:G55"/>
    <mergeCell ref="A55:E55"/>
    <mergeCell ref="A3:H3"/>
    <mergeCell ref="B50:C50"/>
    <mergeCell ref="B53:C53"/>
    <mergeCell ref="B51:C51"/>
    <mergeCell ref="B52:C52"/>
    <mergeCell ref="D48:D49"/>
    <mergeCell ref="E48:E49"/>
    <mergeCell ref="F48:F49"/>
    <mergeCell ref="A48:A49"/>
    <mergeCell ref="B48:C48"/>
    <mergeCell ref="B43:C43"/>
    <mergeCell ref="B44:C44"/>
    <mergeCell ref="B49:C49"/>
    <mergeCell ref="B45:C45"/>
  </mergeCells>
  <phoneticPr fontId="3" type="noConversion"/>
  <pageMargins left="0.59055118110236227" right="0.39370078740157483" top="0.39370078740157483" bottom="0.39370078740157483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2"/>
  <sheetViews>
    <sheetView topLeftCell="C3" workbookViewId="0">
      <selection activeCell="C1" sqref="C1"/>
    </sheetView>
  </sheetViews>
  <sheetFormatPr defaultRowHeight="12.75" x14ac:dyDescent="0.2"/>
  <cols>
    <col min="1" max="1" width="5.85546875" style="100" customWidth="1"/>
    <col min="2" max="2" width="15.7109375" style="100" customWidth="1"/>
    <col min="3" max="3" width="10.7109375" style="101" customWidth="1"/>
    <col min="4" max="4" width="6.28515625" style="101" customWidth="1"/>
    <col min="5" max="5" width="13.140625" style="101" customWidth="1"/>
    <col min="6" max="6" width="6.85546875" style="101" customWidth="1"/>
    <col min="7" max="7" width="12.42578125" style="101" customWidth="1"/>
    <col min="8" max="8" width="7.140625" style="101" customWidth="1"/>
    <col min="9" max="9" width="12.28515625" style="101" customWidth="1"/>
    <col min="10" max="10" width="6.5703125" style="101" customWidth="1"/>
    <col min="11" max="11" width="12.28515625" style="101" customWidth="1"/>
    <col min="12" max="12" width="7.85546875" style="101" customWidth="1"/>
    <col min="13" max="13" width="12.5703125" style="101" customWidth="1"/>
    <col min="14" max="14" width="12.28515625" style="101" customWidth="1"/>
    <col min="15" max="16384" width="9.140625" style="100"/>
  </cols>
  <sheetData>
    <row r="1" spans="1:14" x14ac:dyDescent="0.2">
      <c r="K1" s="362" t="s">
        <v>239</v>
      </c>
      <c r="L1" s="362"/>
      <c r="M1" s="362"/>
      <c r="N1" s="362"/>
    </row>
    <row r="3" spans="1:14" x14ac:dyDescent="0.2">
      <c r="C3" s="363" t="s">
        <v>224</v>
      </c>
      <c r="D3" s="363"/>
      <c r="E3" s="363"/>
      <c r="F3" s="363"/>
      <c r="G3" s="363"/>
      <c r="H3" s="363"/>
      <c r="I3" s="363"/>
      <c r="J3" s="363"/>
      <c r="K3" s="363"/>
      <c r="L3" s="363"/>
      <c r="M3" s="363"/>
    </row>
    <row r="4" spans="1:14" x14ac:dyDescent="0.2">
      <c r="C4" s="363" t="s">
        <v>223</v>
      </c>
      <c r="D4" s="363"/>
      <c r="E4" s="363"/>
      <c r="F4" s="363"/>
      <c r="G4" s="363"/>
      <c r="H4" s="363"/>
      <c r="I4" s="363"/>
      <c r="J4" s="363"/>
      <c r="K4" s="363"/>
      <c r="L4" s="363"/>
      <c r="M4" s="363"/>
    </row>
    <row r="6" spans="1:14" s="104" customFormat="1" ht="51" x14ac:dyDescent="0.2">
      <c r="A6" s="102" t="s">
        <v>52</v>
      </c>
      <c r="B6" s="103" t="s">
        <v>125</v>
      </c>
      <c r="C6" s="103" t="s">
        <v>221</v>
      </c>
      <c r="D6" s="364" t="s">
        <v>127</v>
      </c>
      <c r="E6" s="364"/>
      <c r="F6" s="364" t="s">
        <v>128</v>
      </c>
      <c r="G6" s="364"/>
      <c r="H6" s="364" t="s">
        <v>130</v>
      </c>
      <c r="I6" s="364"/>
      <c r="J6" s="364" t="s">
        <v>129</v>
      </c>
      <c r="K6" s="364"/>
      <c r="L6" s="364" t="s">
        <v>131</v>
      </c>
      <c r="M6" s="364"/>
      <c r="N6" s="103" t="s">
        <v>134</v>
      </c>
    </row>
    <row r="7" spans="1:14" x14ac:dyDescent="0.2">
      <c r="A7" s="360"/>
      <c r="B7" s="360"/>
      <c r="C7" s="105"/>
      <c r="D7" s="105"/>
      <c r="E7" s="105" t="s">
        <v>135</v>
      </c>
      <c r="F7" s="105"/>
      <c r="G7" s="105" t="s">
        <v>135</v>
      </c>
      <c r="H7" s="105"/>
      <c r="I7" s="105" t="s">
        <v>135</v>
      </c>
      <c r="J7" s="105"/>
      <c r="K7" s="105" t="s">
        <v>135</v>
      </c>
      <c r="L7" s="105"/>
      <c r="M7" s="105" t="s">
        <v>135</v>
      </c>
      <c r="N7" s="105"/>
    </row>
    <row r="8" spans="1:14" s="107" customFormat="1" x14ac:dyDescent="0.2">
      <c r="A8" s="361" t="s">
        <v>216</v>
      </c>
      <c r="B8" s="361"/>
      <c r="C8" s="106">
        <v>15</v>
      </c>
      <c r="D8" s="106">
        <v>1</v>
      </c>
      <c r="E8" s="106"/>
      <c r="F8" s="106">
        <v>2</v>
      </c>
      <c r="G8" s="106"/>
      <c r="H8" s="106">
        <v>1</v>
      </c>
      <c r="I8" s="106"/>
      <c r="J8" s="106">
        <v>1</v>
      </c>
      <c r="K8" s="106"/>
      <c r="L8" s="106">
        <v>10</v>
      </c>
      <c r="M8" s="106"/>
      <c r="N8" s="106"/>
    </row>
    <row r="9" spans="1:14" x14ac:dyDescent="0.2">
      <c r="A9" s="105">
        <v>1</v>
      </c>
      <c r="B9" s="108" t="s">
        <v>132</v>
      </c>
      <c r="C9" s="105"/>
      <c r="D9" s="105">
        <v>1</v>
      </c>
      <c r="E9" s="105">
        <v>1672</v>
      </c>
      <c r="F9" s="105">
        <v>2</v>
      </c>
      <c r="G9" s="105">
        <v>3294</v>
      </c>
      <c r="H9" s="105">
        <v>1</v>
      </c>
      <c r="I9" s="105">
        <v>2787</v>
      </c>
      <c r="J9" s="105">
        <v>1</v>
      </c>
      <c r="K9" s="105">
        <v>2458</v>
      </c>
      <c r="L9" s="105">
        <v>10</v>
      </c>
      <c r="M9" s="105">
        <v>20525</v>
      </c>
      <c r="N9" s="105">
        <f>M9+K9+I9+G9+E9</f>
        <v>30736</v>
      </c>
    </row>
    <row r="10" spans="1:14" x14ac:dyDescent="0.2">
      <c r="A10" s="105">
        <v>2</v>
      </c>
      <c r="B10" s="108" t="s">
        <v>133</v>
      </c>
      <c r="C10" s="105"/>
      <c r="D10" s="105">
        <v>1</v>
      </c>
      <c r="E10" s="105">
        <v>749</v>
      </c>
      <c r="F10" s="105">
        <v>2</v>
      </c>
      <c r="G10" s="105">
        <v>1498</v>
      </c>
      <c r="H10" s="105">
        <v>1</v>
      </c>
      <c r="I10" s="105">
        <v>1889</v>
      </c>
      <c r="J10" s="105">
        <v>1</v>
      </c>
      <c r="K10" s="105">
        <v>1560</v>
      </c>
      <c r="L10" s="105">
        <v>10</v>
      </c>
      <c r="M10" s="105">
        <v>11543</v>
      </c>
      <c r="N10" s="105">
        <f>M10+K10+I10+G10+E10</f>
        <v>17239</v>
      </c>
    </row>
    <row r="11" spans="1:14" s="107" customFormat="1" x14ac:dyDescent="0.2">
      <c r="A11" s="361" t="s">
        <v>217</v>
      </c>
      <c r="B11" s="361"/>
      <c r="C11" s="106">
        <v>37</v>
      </c>
      <c r="D11" s="106">
        <v>0</v>
      </c>
      <c r="E11" s="106"/>
      <c r="F11" s="106">
        <v>11</v>
      </c>
      <c r="G11" s="106"/>
      <c r="H11" s="106">
        <v>8</v>
      </c>
      <c r="I11" s="106"/>
      <c r="J11" s="106">
        <v>6</v>
      </c>
      <c r="K11" s="106"/>
      <c r="L11" s="106">
        <v>12</v>
      </c>
      <c r="M11" s="106"/>
      <c r="N11" s="106"/>
    </row>
    <row r="12" spans="1:14" x14ac:dyDescent="0.2">
      <c r="A12" s="105">
        <v>3</v>
      </c>
      <c r="B12" s="108" t="s">
        <v>132</v>
      </c>
      <c r="C12" s="105"/>
      <c r="D12" s="105"/>
      <c r="E12" s="105"/>
      <c r="F12" s="105">
        <v>11</v>
      </c>
      <c r="G12" s="105">
        <v>18119</v>
      </c>
      <c r="H12" s="105">
        <v>8</v>
      </c>
      <c r="I12" s="105">
        <v>22298</v>
      </c>
      <c r="J12" s="105">
        <v>6</v>
      </c>
      <c r="K12" s="105">
        <v>14747</v>
      </c>
      <c r="L12" s="105">
        <v>12</v>
      </c>
      <c r="M12" s="105">
        <v>24631</v>
      </c>
      <c r="N12" s="105">
        <f>M12+K12+I12+G12</f>
        <v>79795</v>
      </c>
    </row>
    <row r="13" spans="1:14" x14ac:dyDescent="0.2">
      <c r="A13" s="105">
        <v>4</v>
      </c>
      <c r="B13" s="108" t="s">
        <v>133</v>
      </c>
      <c r="C13" s="105"/>
      <c r="D13" s="105"/>
      <c r="E13" s="105"/>
      <c r="F13" s="105">
        <v>11</v>
      </c>
      <c r="G13" s="105">
        <v>8238</v>
      </c>
      <c r="H13" s="105">
        <v>8</v>
      </c>
      <c r="I13" s="105">
        <v>15112</v>
      </c>
      <c r="J13" s="105">
        <v>6</v>
      </c>
      <c r="K13" s="105">
        <v>9358</v>
      </c>
      <c r="L13" s="105">
        <v>12</v>
      </c>
      <c r="M13" s="105">
        <v>13851</v>
      </c>
      <c r="N13" s="105">
        <f>M13+K13+I13+G13</f>
        <v>46559</v>
      </c>
    </row>
    <row r="14" spans="1:14" s="107" customFormat="1" x14ac:dyDescent="0.2">
      <c r="A14" s="361" t="s">
        <v>218</v>
      </c>
      <c r="B14" s="361"/>
      <c r="C14" s="106">
        <v>17</v>
      </c>
      <c r="D14" s="106">
        <v>0</v>
      </c>
      <c r="E14" s="106"/>
      <c r="F14" s="106">
        <v>2</v>
      </c>
      <c r="G14" s="106"/>
      <c r="H14" s="106">
        <v>12</v>
      </c>
      <c r="I14" s="106"/>
      <c r="J14" s="106">
        <v>0</v>
      </c>
      <c r="K14" s="106"/>
      <c r="L14" s="106">
        <v>3</v>
      </c>
      <c r="M14" s="106"/>
      <c r="N14" s="106"/>
    </row>
    <row r="15" spans="1:14" x14ac:dyDescent="0.2">
      <c r="A15" s="105">
        <v>5</v>
      </c>
      <c r="B15" s="108" t="s">
        <v>132</v>
      </c>
      <c r="C15" s="105"/>
      <c r="D15" s="105"/>
      <c r="E15" s="105"/>
      <c r="F15" s="105">
        <v>2</v>
      </c>
      <c r="G15" s="105">
        <v>3294</v>
      </c>
      <c r="H15" s="105">
        <v>12</v>
      </c>
      <c r="I15" s="105">
        <v>33447</v>
      </c>
      <c r="J15" s="105"/>
      <c r="K15" s="105"/>
      <c r="L15" s="105">
        <v>3</v>
      </c>
      <c r="M15" s="105">
        <v>6158</v>
      </c>
      <c r="N15" s="105">
        <f>M15+I15+G15</f>
        <v>42899</v>
      </c>
    </row>
    <row r="16" spans="1:14" x14ac:dyDescent="0.2">
      <c r="A16" s="105">
        <v>6</v>
      </c>
      <c r="B16" s="108" t="s">
        <v>133</v>
      </c>
      <c r="C16" s="105"/>
      <c r="D16" s="105"/>
      <c r="E16" s="105"/>
      <c r="F16" s="105">
        <v>2</v>
      </c>
      <c r="G16" s="105">
        <v>1498</v>
      </c>
      <c r="H16" s="105">
        <v>12</v>
      </c>
      <c r="I16" s="105">
        <v>22667</v>
      </c>
      <c r="J16" s="105"/>
      <c r="K16" s="105"/>
      <c r="L16" s="105">
        <v>3</v>
      </c>
      <c r="M16" s="105">
        <v>3463</v>
      </c>
      <c r="N16" s="105">
        <f>M16+I16+G16</f>
        <v>27628</v>
      </c>
    </row>
    <row r="17" spans="1:14" s="107" customFormat="1" ht="15" x14ac:dyDescent="0.25">
      <c r="A17" s="359" t="s">
        <v>8</v>
      </c>
      <c r="B17" s="359"/>
      <c r="C17" s="106">
        <f>C14+C11+C8</f>
        <v>69</v>
      </c>
      <c r="D17" s="106">
        <v>1</v>
      </c>
      <c r="E17" s="105">
        <f>SUM(E8:E16)</f>
        <v>2421</v>
      </c>
      <c r="F17" s="106">
        <v>15</v>
      </c>
      <c r="G17" s="105">
        <f>SUM(G8:G16)</f>
        <v>35941</v>
      </c>
      <c r="H17" s="106">
        <v>21</v>
      </c>
      <c r="I17" s="105">
        <f>SUM(I8:I16)</f>
        <v>98200</v>
      </c>
      <c r="J17" s="106">
        <v>7</v>
      </c>
      <c r="K17" s="105">
        <f>SUM(K8:K16)</f>
        <v>28123</v>
      </c>
      <c r="L17" s="106">
        <v>25</v>
      </c>
      <c r="M17" s="105">
        <f>SUM(M8:M16)</f>
        <v>80171</v>
      </c>
      <c r="N17" s="106">
        <f>SUM(N9:N16)</f>
        <v>244856</v>
      </c>
    </row>
    <row r="18" spans="1:14" x14ac:dyDescent="0.2">
      <c r="F18" s="138"/>
      <c r="G18" s="139"/>
      <c r="H18" s="138"/>
    </row>
    <row r="19" spans="1:14" x14ac:dyDescent="0.2">
      <c r="F19" s="138"/>
      <c r="G19" s="138"/>
      <c r="H19" s="138"/>
    </row>
    <row r="22" spans="1:14" s="109" customFormat="1" ht="14.25" x14ac:dyDescent="0.2">
      <c r="B22" s="109" t="s">
        <v>191</v>
      </c>
      <c r="C22" s="110"/>
      <c r="D22" s="110"/>
      <c r="E22" s="110"/>
      <c r="F22" s="110"/>
      <c r="G22" s="110" t="s">
        <v>192</v>
      </c>
      <c r="H22" s="110"/>
      <c r="I22" s="110"/>
      <c r="J22" s="110"/>
      <c r="K22" s="110"/>
      <c r="L22" s="110"/>
      <c r="M22" s="110"/>
      <c r="N22" s="110"/>
    </row>
  </sheetData>
  <mergeCells count="13">
    <mergeCell ref="K1:N1"/>
    <mergeCell ref="C3:M3"/>
    <mergeCell ref="C4:M4"/>
    <mergeCell ref="D6:E6"/>
    <mergeCell ref="F6:G6"/>
    <mergeCell ref="H6:I6"/>
    <mergeCell ref="J6:K6"/>
    <mergeCell ref="L6:M6"/>
    <mergeCell ref="A17:B17"/>
    <mergeCell ref="A7:B7"/>
    <mergeCell ref="A8:B8"/>
    <mergeCell ref="A11:B11"/>
    <mergeCell ref="A14:B14"/>
  </mergeCells>
  <phoneticPr fontId="3" type="noConversion"/>
  <pageMargins left="0.19685039370078741" right="0.19685039370078741" top="0.39370078740157483" bottom="0.39370078740157483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ПАДУ эл. ТР Ильинск</vt:lpstr>
      <vt:lpstr>ЛКИ-1ЭП</vt:lpstr>
      <vt:lpstr>материалы</vt:lpstr>
      <vt:lpstr>ТР-400,500 Верещагино</vt:lpstr>
      <vt:lpstr>ТР-3000 Шатовка</vt:lpstr>
      <vt:lpstr>зимнее вр.</vt:lpstr>
      <vt:lpstr>летн. врем.</vt:lpstr>
      <vt:lpstr>ТО</vt:lpstr>
      <vt:lpstr>Табл. электрооб.</vt:lpstr>
      <vt:lpstr>Табл. установки</vt:lpstr>
      <vt:lpstr>таблица</vt:lpstr>
      <vt:lpstr>9.содержание обслуживание ТСВ</vt:lpstr>
      <vt:lpstr>6.сод. искусственных неровносте</vt:lpstr>
      <vt:lpstr>5.сод. дорожных ограждений</vt:lpstr>
      <vt:lpstr>4.сод. направляющих устройств</vt:lpstr>
      <vt:lpstr>1 сод. ДЗ</vt:lpstr>
    </vt:vector>
  </TitlesOfParts>
  <Company>ER-Capital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головчанская вера</dc:creator>
  <cp:lastModifiedBy>Чайко Ольга Михайловна</cp:lastModifiedBy>
  <cp:lastPrinted>2012-03-30T06:33:25Z</cp:lastPrinted>
  <dcterms:created xsi:type="dcterms:W3CDTF">2006-01-17T10:16:07Z</dcterms:created>
  <dcterms:modified xsi:type="dcterms:W3CDTF">2012-04-13T03:35:27Z</dcterms:modified>
</cp:coreProperties>
</file>