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1" activeTab="4"/>
  </bookViews>
  <sheets>
    <sheet name="Содержание кладбищ" sheetId="4" r:id="rId1"/>
    <sheet name="Акаризация" sheetId="2" r:id="rId2"/>
    <sheet name="Содержание КПП" sheetId="5" r:id="rId3"/>
    <sheet name="Свод на аукцион" sheetId="7" r:id="rId4"/>
    <sheet name="Свод по кладбищам" sheetId="9" r:id="rId5"/>
  </sheets>
  <calcPr calcId="145621" fullPrecision="0"/>
</workbook>
</file>

<file path=xl/calcChain.xml><?xml version="1.0" encoding="utf-8"?>
<calcChain xmlns="http://schemas.openxmlformats.org/spreadsheetml/2006/main">
  <c r="C23" i="5" l="1"/>
  <c r="C15" i="5"/>
  <c r="C14" i="5"/>
  <c r="C7" i="5"/>
  <c r="C8" i="5"/>
  <c r="C9" i="5"/>
  <c r="C10" i="5"/>
  <c r="C11" i="5"/>
  <c r="C12" i="5"/>
  <c r="C6" i="5"/>
  <c r="E6" i="5" s="1"/>
  <c r="E8" i="9" l="1"/>
  <c r="F8" i="9" s="1"/>
  <c r="E9" i="9"/>
  <c r="F9" i="9" s="1"/>
  <c r="E10" i="9"/>
  <c r="F10" i="9" s="1"/>
  <c r="E11" i="9"/>
  <c r="F11" i="9" s="1"/>
  <c r="E12" i="9"/>
  <c r="F12" i="9" s="1"/>
  <c r="E13" i="9"/>
  <c r="F13" i="9" s="1"/>
  <c r="E14" i="9"/>
  <c r="F14" i="9" s="1"/>
  <c r="E15" i="9"/>
  <c r="F15" i="9" s="1"/>
  <c r="E16" i="9"/>
  <c r="F16" i="9" s="1"/>
  <c r="E17" i="9"/>
  <c r="F17" i="9" s="1"/>
  <c r="E18" i="9"/>
  <c r="F18" i="9" s="1"/>
  <c r="E19" i="9"/>
  <c r="F19" i="9" s="1"/>
  <c r="E20" i="9"/>
  <c r="F20" i="9" s="1"/>
  <c r="E21" i="9"/>
  <c r="F21" i="9" s="1"/>
  <c r="E22" i="9"/>
  <c r="F22" i="9" s="1"/>
  <c r="E23" i="9"/>
  <c r="F23" i="9" s="1"/>
  <c r="E24" i="9"/>
  <c r="F24" i="9" s="1"/>
  <c r="E25" i="9"/>
  <c r="J8" i="9"/>
  <c r="E16" i="5"/>
  <c r="J18" i="9" s="1"/>
  <c r="E17" i="5"/>
  <c r="J19" i="9" s="1"/>
  <c r="E18" i="5"/>
  <c r="J20" i="9" s="1"/>
  <c r="E19" i="5"/>
  <c r="J21" i="9" s="1"/>
  <c r="E20" i="5"/>
  <c r="J22" i="9" s="1"/>
  <c r="E21" i="5"/>
  <c r="J23" i="9" s="1"/>
  <c r="E22" i="5"/>
  <c r="J24" i="9" s="1"/>
  <c r="E26" i="9" l="1"/>
  <c r="F25" i="9"/>
  <c r="E23" i="5"/>
  <c r="J25" i="9" s="1"/>
  <c r="E15" i="5"/>
  <c r="J17" i="9" s="1"/>
  <c r="E14" i="5"/>
  <c r="J16" i="9" s="1"/>
  <c r="C13" i="5"/>
  <c r="E13" i="5" s="1"/>
  <c r="J15" i="9" s="1"/>
  <c r="E7" i="5"/>
  <c r="J9" i="9" s="1"/>
  <c r="E8" i="5"/>
  <c r="J10" i="9" s="1"/>
  <c r="E9" i="5"/>
  <c r="J11" i="9" s="1"/>
  <c r="E10" i="5"/>
  <c r="J12" i="9" s="1"/>
  <c r="E11" i="5"/>
  <c r="J13" i="9" s="1"/>
  <c r="E12" i="5"/>
  <c r="J14" i="9" s="1"/>
  <c r="J26" i="9" l="1"/>
  <c r="E24" i="5"/>
  <c r="C7" i="7" s="1"/>
  <c r="C24" i="5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E23" i="2" l="1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23" i="4"/>
  <c r="F23" i="4" s="1"/>
  <c r="G23" i="4" s="1"/>
  <c r="H25" i="9" s="1"/>
  <c r="E22" i="4"/>
  <c r="F22" i="4" s="1"/>
  <c r="G22" i="4" s="1"/>
  <c r="H24" i="9" s="1"/>
  <c r="E21" i="4"/>
  <c r="F21" i="4" s="1"/>
  <c r="G21" i="4" s="1"/>
  <c r="H23" i="9" s="1"/>
  <c r="E20" i="4"/>
  <c r="F20" i="4" s="1"/>
  <c r="G20" i="4" s="1"/>
  <c r="H22" i="9" s="1"/>
  <c r="E19" i="4"/>
  <c r="F19" i="4" s="1"/>
  <c r="G19" i="4" s="1"/>
  <c r="H21" i="9" s="1"/>
  <c r="E18" i="4"/>
  <c r="F18" i="4" s="1"/>
  <c r="G18" i="4" s="1"/>
  <c r="H20" i="9" s="1"/>
  <c r="E17" i="4"/>
  <c r="F17" i="4" s="1"/>
  <c r="G17" i="4" s="1"/>
  <c r="H19" i="9" s="1"/>
  <c r="E16" i="4"/>
  <c r="F16" i="4" s="1"/>
  <c r="G16" i="4" s="1"/>
  <c r="H18" i="9" s="1"/>
  <c r="E15" i="4"/>
  <c r="F15" i="4" s="1"/>
  <c r="G15" i="4" s="1"/>
  <c r="H17" i="9" s="1"/>
  <c r="E14" i="4"/>
  <c r="F14" i="4" s="1"/>
  <c r="G14" i="4" s="1"/>
  <c r="H16" i="9" s="1"/>
  <c r="E13" i="4"/>
  <c r="F13" i="4" s="1"/>
  <c r="G13" i="4" s="1"/>
  <c r="H15" i="9" s="1"/>
  <c r="E12" i="4"/>
  <c r="F12" i="4" s="1"/>
  <c r="G12" i="4" s="1"/>
  <c r="H14" i="9" s="1"/>
  <c r="E11" i="4"/>
  <c r="F11" i="4" s="1"/>
  <c r="G11" i="4" s="1"/>
  <c r="H13" i="9" s="1"/>
  <c r="E10" i="4"/>
  <c r="F10" i="4" s="1"/>
  <c r="G10" i="4" s="1"/>
  <c r="H12" i="9" s="1"/>
  <c r="E9" i="4"/>
  <c r="F9" i="4" s="1"/>
  <c r="G9" i="4" s="1"/>
  <c r="H11" i="9" s="1"/>
  <c r="E8" i="4"/>
  <c r="F8" i="4" s="1"/>
  <c r="G8" i="4" s="1"/>
  <c r="H10" i="9" s="1"/>
  <c r="E7" i="4"/>
  <c r="F7" i="4" s="1"/>
  <c r="G7" i="4" s="1"/>
  <c r="H9" i="9" s="1"/>
  <c r="E6" i="4"/>
  <c r="E24" i="4" l="1"/>
  <c r="I11" i="9"/>
  <c r="G11" i="9" s="1"/>
  <c r="I15" i="9"/>
  <c r="G15" i="9" s="1"/>
  <c r="I19" i="9"/>
  <c r="G19" i="9" s="1"/>
  <c r="I23" i="9"/>
  <c r="G23" i="9" s="1"/>
  <c r="I10" i="9"/>
  <c r="G10" i="9" s="1"/>
  <c r="I18" i="9"/>
  <c r="G18" i="9" s="1"/>
  <c r="I22" i="9"/>
  <c r="G22" i="9" s="1"/>
  <c r="I25" i="9"/>
  <c r="G25" i="9" s="1"/>
  <c r="I14" i="9"/>
  <c r="G14" i="9" s="1"/>
  <c r="I9" i="9"/>
  <c r="G9" i="9" s="1"/>
  <c r="I13" i="9"/>
  <c r="G13" i="9" s="1"/>
  <c r="I17" i="9"/>
  <c r="G17" i="9" s="1"/>
  <c r="I21" i="9"/>
  <c r="G21" i="9" s="1"/>
  <c r="I12" i="9"/>
  <c r="G12" i="9" s="1"/>
  <c r="I16" i="9"/>
  <c r="G16" i="9" s="1"/>
  <c r="I20" i="9"/>
  <c r="G20" i="9" s="1"/>
  <c r="I24" i="9"/>
  <c r="G24" i="9" s="1"/>
  <c r="E24" i="2"/>
  <c r="F6" i="4"/>
  <c r="G6" i="4" s="1"/>
  <c r="G24" i="4" l="1"/>
  <c r="C5" i="7" s="1"/>
  <c r="H8" i="9"/>
  <c r="H26" i="9" s="1"/>
  <c r="F24" i="2"/>
  <c r="I8" i="9"/>
  <c r="I26" i="9" l="1"/>
  <c r="G8" i="9"/>
  <c r="G26" i="9" s="1"/>
  <c r="C6" i="7"/>
  <c r="C8" i="7" s="1"/>
</calcChain>
</file>

<file path=xl/sharedStrings.xml><?xml version="1.0" encoding="utf-8"?>
<sst xmlns="http://schemas.openxmlformats.org/spreadsheetml/2006/main" count="119" uniqueCount="44">
  <si>
    <t>№ п/п</t>
  </si>
  <si>
    <t>Наименование кладбища</t>
  </si>
  <si>
    <t>Северное</t>
  </si>
  <si>
    <t>Южное</t>
  </si>
  <si>
    <t>Банная гора (новое)</t>
  </si>
  <si>
    <t xml:space="preserve">Егошихинское </t>
  </si>
  <si>
    <t>Закамское</t>
  </si>
  <si>
    <t>Кислотные дачи</t>
  </si>
  <si>
    <t>Заозерское</t>
  </si>
  <si>
    <t>Верхне-Курьинское</t>
  </si>
  <si>
    <t>Ново-Лядовское</t>
  </si>
  <si>
    <t>Заборное</t>
  </si>
  <si>
    <t>Запрудское</t>
  </si>
  <si>
    <t>Верхне-Муллинское</t>
  </si>
  <si>
    <t>Блочное</t>
  </si>
  <si>
    <t>Нижне-Курьинское</t>
  </si>
  <si>
    <t>Головановское</t>
  </si>
  <si>
    <t>Банная гора (старое)</t>
  </si>
  <si>
    <t>Окуловское</t>
  </si>
  <si>
    <t>Восточное</t>
  </si>
  <si>
    <t>Общая площадь содержания, м2</t>
  </si>
  <si>
    <t>Стоимость ед.изм., руб. в ценах 2011 г.</t>
  </si>
  <si>
    <t>На календарный год в ценах 2011 г.</t>
  </si>
  <si>
    <t>6=5/365</t>
  </si>
  <si>
    <t>Стоимость 1 дн. содержания в ценах 2011 г.</t>
  </si>
  <si>
    <t>Стоимость содержания на 2014 г.</t>
  </si>
  <si>
    <t>Содержание кладбищ</t>
  </si>
  <si>
    <t>Общая площадь акаризации, га</t>
  </si>
  <si>
    <t>Количество часов контрольно-пропускного режима работы кладбищ на 2014 год</t>
  </si>
  <si>
    <t>Вид содержания</t>
  </si>
  <si>
    <t>Акаризация</t>
  </si>
  <si>
    <t>Содержание КПП</t>
  </si>
  <si>
    <t>Всего</t>
  </si>
  <si>
    <t>* Расчет произведен на основании методики расчета и размера стоимости работ (услуг) по организации ритуальных услуг и содержанию мест захоронения, утвержденной постановлением администрации г.Перми от 17.05.2011. № 213, с учетом индексации в пределах выделенных лимитов.</t>
  </si>
  <si>
    <t>Расчет по содержанию и текущему ремонту элементов благоустройства мест захоронения г.Перми.</t>
  </si>
  <si>
    <t xml:space="preserve">             </t>
  </si>
  <si>
    <t>Расчет по аккаризации и дератизации территорий кладбищ.</t>
  </si>
  <si>
    <t>Расчет по содержанию контрольно-пропускных пунктов.</t>
  </si>
  <si>
    <t>Стоимость содержания на 2014 г. *</t>
  </si>
  <si>
    <t xml:space="preserve">Содержание </t>
  </si>
  <si>
    <t>Аккаризация</t>
  </si>
  <si>
    <t>В том числе по видам работ</t>
  </si>
  <si>
    <t>2014 год (22.12.2013-15.10.2014)</t>
  </si>
  <si>
    <t>Содержание и текущий ремонт элементов благоустройства мест захоронения г.Перми на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</si>
</sst>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3" fontId="2" fillId="0" borderId="0" xfId="0" applyNumberFormat="1" applyFont="1"/>
    <xf numFmtId="0" fontId="3" fillId="0" borderId="1" xfId="0" applyFont="1" applyBorder="1" applyAlignment="1">
      <alignment wrapText="1"/>
    </xf>
    <xf numFmtId="43" fontId="3" fillId="0" borderId="1" xfId="0" applyNumberFormat="1" applyFont="1" applyBorder="1" applyAlignment="1">
      <alignment wrapText="1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2" fillId="0" borderId="1" xfId="1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164" fontId="6" fillId="2" borderId="1" xfId="1" applyNumberFormat="1" applyFont="1" applyFill="1" applyBorder="1" applyAlignment="1">
      <alignment wrapText="1"/>
    </xf>
    <xf numFmtId="43" fontId="6" fillId="0" borderId="1" xfId="1" applyFont="1" applyBorder="1" applyAlignment="1">
      <alignment horizontal="center" wrapText="1"/>
    </xf>
    <xf numFmtId="164" fontId="6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43" fontId="6" fillId="0" borderId="0" xfId="0" applyNumberFormat="1" applyFont="1"/>
    <xf numFmtId="0" fontId="4" fillId="0" borderId="0" xfId="0" applyFont="1" applyAlignment="1"/>
    <xf numFmtId="0" fontId="4" fillId="0" borderId="0" xfId="0" applyFont="1"/>
    <xf numFmtId="164" fontId="6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43" fontId="4" fillId="0" borderId="1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7" fillId="0" borderId="1" xfId="1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3" fontId="6" fillId="0" borderId="1" xfId="1" applyFont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4" fontId="2" fillId="0" borderId="0" xfId="1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zoomScale="120" zoomScaleNormal="120" workbookViewId="0">
      <selection activeCell="H28" sqref="H28"/>
    </sheetView>
  </sheetViews>
  <sheetFormatPr defaultColWidth="21.7109375" defaultRowHeight="15.75" x14ac:dyDescent="0.25"/>
  <cols>
    <col min="1" max="1" width="8" style="34" customWidth="1"/>
    <col min="2" max="2" width="29" style="34" customWidth="1"/>
    <col min="3" max="3" width="24.140625" style="34" customWidth="1"/>
    <col min="4" max="4" width="14.42578125" style="34" hidden="1" customWidth="1"/>
    <col min="5" max="5" width="21" style="34" hidden="1" customWidth="1"/>
    <col min="6" max="6" width="18.85546875" style="34" hidden="1" customWidth="1"/>
    <col min="7" max="7" width="23.85546875" style="34" customWidth="1"/>
    <col min="8" max="16384" width="21.7109375" style="34"/>
  </cols>
  <sheetData>
    <row r="2" spans="1:9" ht="28.5" customHeight="1" x14ac:dyDescent="0.25">
      <c r="A2" s="53" t="s">
        <v>34</v>
      </c>
      <c r="B2" s="53"/>
      <c r="C2" s="53"/>
      <c r="D2" s="53"/>
      <c r="E2" s="53"/>
      <c r="F2" s="53"/>
      <c r="G2" s="53"/>
    </row>
    <row r="4" spans="1:9" ht="48.75" customHeight="1" x14ac:dyDescent="0.25">
      <c r="A4" s="22" t="s">
        <v>0</v>
      </c>
      <c r="B4" s="22" t="s">
        <v>1</v>
      </c>
      <c r="C4" s="22" t="s">
        <v>20</v>
      </c>
      <c r="D4" s="22" t="s">
        <v>21</v>
      </c>
      <c r="E4" s="22" t="s">
        <v>22</v>
      </c>
      <c r="F4" s="22" t="s">
        <v>24</v>
      </c>
      <c r="G4" s="22" t="s">
        <v>25</v>
      </c>
    </row>
    <row r="5" spans="1:9" ht="15" customHeigh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 t="s">
        <v>23</v>
      </c>
      <c r="G5" s="24">
        <v>4</v>
      </c>
    </row>
    <row r="6" spans="1:9" x14ac:dyDescent="0.25">
      <c r="A6" s="25">
        <v>1</v>
      </c>
      <c r="B6" s="26" t="s">
        <v>2</v>
      </c>
      <c r="C6" s="40">
        <v>1759303</v>
      </c>
      <c r="D6" s="40">
        <v>9</v>
      </c>
      <c r="E6" s="40">
        <f>C6*D6</f>
        <v>15833727</v>
      </c>
      <c r="F6" s="41">
        <f>E6/365</f>
        <v>43380</v>
      </c>
      <c r="G6" s="42">
        <f>F6*297*1.048074637</f>
        <v>13503247</v>
      </c>
      <c r="I6" s="35"/>
    </row>
    <row r="7" spans="1:9" x14ac:dyDescent="0.25">
      <c r="A7" s="25">
        <v>2</v>
      </c>
      <c r="B7" s="26" t="s">
        <v>3</v>
      </c>
      <c r="C7" s="40">
        <v>503654</v>
      </c>
      <c r="D7" s="40">
        <v>5</v>
      </c>
      <c r="E7" s="40">
        <f t="shared" ref="E7:E23" si="0">C7*D7</f>
        <v>2518270</v>
      </c>
      <c r="F7" s="41">
        <f t="shared" ref="F7:F23" si="1">E7/365</f>
        <v>6899</v>
      </c>
      <c r="G7" s="42">
        <f t="shared" ref="G7:G23" si="2">F7*297*1.048074637</f>
        <v>2147508</v>
      </c>
      <c r="I7" s="35"/>
    </row>
    <row r="8" spans="1:9" x14ac:dyDescent="0.25">
      <c r="A8" s="25">
        <v>3</v>
      </c>
      <c r="B8" s="26" t="s">
        <v>4</v>
      </c>
      <c r="C8" s="40">
        <v>177530</v>
      </c>
      <c r="D8" s="40">
        <v>6</v>
      </c>
      <c r="E8" s="40">
        <f t="shared" si="0"/>
        <v>1065180</v>
      </c>
      <c r="F8" s="41">
        <f t="shared" si="1"/>
        <v>2918</v>
      </c>
      <c r="G8" s="42">
        <f t="shared" si="2"/>
        <v>908310</v>
      </c>
      <c r="I8" s="35"/>
    </row>
    <row r="9" spans="1:9" x14ac:dyDescent="0.25">
      <c r="A9" s="25">
        <v>4</v>
      </c>
      <c r="B9" s="26" t="s">
        <v>5</v>
      </c>
      <c r="C9" s="40">
        <v>300731</v>
      </c>
      <c r="D9" s="40">
        <v>4</v>
      </c>
      <c r="E9" s="40">
        <f t="shared" si="0"/>
        <v>1202924</v>
      </c>
      <c r="F9" s="41">
        <f t="shared" si="1"/>
        <v>3296</v>
      </c>
      <c r="G9" s="42">
        <f t="shared" si="2"/>
        <v>1025973</v>
      </c>
      <c r="I9" s="35"/>
    </row>
    <row r="10" spans="1:9" x14ac:dyDescent="0.25">
      <c r="A10" s="25">
        <v>5</v>
      </c>
      <c r="B10" s="26" t="s">
        <v>6</v>
      </c>
      <c r="C10" s="40">
        <v>235810</v>
      </c>
      <c r="D10" s="40">
        <v>4</v>
      </c>
      <c r="E10" s="40">
        <f t="shared" si="0"/>
        <v>943240</v>
      </c>
      <c r="F10" s="41">
        <f t="shared" si="1"/>
        <v>2584</v>
      </c>
      <c r="G10" s="42">
        <f t="shared" si="2"/>
        <v>804343</v>
      </c>
      <c r="I10" s="35"/>
    </row>
    <row r="11" spans="1:9" x14ac:dyDescent="0.25">
      <c r="A11" s="25">
        <v>6</v>
      </c>
      <c r="B11" s="26" t="s">
        <v>7</v>
      </c>
      <c r="C11" s="40">
        <v>122762</v>
      </c>
      <c r="D11" s="40">
        <v>5</v>
      </c>
      <c r="E11" s="40">
        <f t="shared" si="0"/>
        <v>613810</v>
      </c>
      <c r="F11" s="41">
        <f t="shared" si="1"/>
        <v>1682</v>
      </c>
      <c r="G11" s="42">
        <f t="shared" si="2"/>
        <v>523570</v>
      </c>
      <c r="I11" s="35"/>
    </row>
    <row r="12" spans="1:9" x14ac:dyDescent="0.25">
      <c r="A12" s="25">
        <v>7</v>
      </c>
      <c r="B12" s="26" t="s">
        <v>8</v>
      </c>
      <c r="C12" s="40">
        <v>165108</v>
      </c>
      <c r="D12" s="40">
        <v>5</v>
      </c>
      <c r="E12" s="40">
        <f t="shared" si="0"/>
        <v>825540</v>
      </c>
      <c r="F12" s="41">
        <f t="shared" si="1"/>
        <v>2262</v>
      </c>
      <c r="G12" s="42">
        <f t="shared" si="2"/>
        <v>704111</v>
      </c>
      <c r="I12" s="35"/>
    </row>
    <row r="13" spans="1:9" x14ac:dyDescent="0.25">
      <c r="A13" s="25">
        <v>8</v>
      </c>
      <c r="B13" s="26" t="s">
        <v>9</v>
      </c>
      <c r="C13" s="40">
        <v>115578</v>
      </c>
      <c r="D13" s="40">
        <v>5</v>
      </c>
      <c r="E13" s="40">
        <f t="shared" si="0"/>
        <v>577890</v>
      </c>
      <c r="F13" s="41">
        <f t="shared" si="1"/>
        <v>1583</v>
      </c>
      <c r="G13" s="42">
        <f t="shared" si="2"/>
        <v>492753</v>
      </c>
      <c r="I13" s="35"/>
    </row>
    <row r="14" spans="1:9" x14ac:dyDescent="0.25">
      <c r="A14" s="25">
        <v>9</v>
      </c>
      <c r="B14" s="26" t="s">
        <v>10</v>
      </c>
      <c r="C14" s="40">
        <v>77556</v>
      </c>
      <c r="D14" s="40">
        <v>5</v>
      </c>
      <c r="E14" s="40">
        <f t="shared" si="0"/>
        <v>387780</v>
      </c>
      <c r="F14" s="41">
        <f t="shared" si="1"/>
        <v>1062</v>
      </c>
      <c r="G14" s="42">
        <f t="shared" si="2"/>
        <v>330577</v>
      </c>
      <c r="I14" s="35"/>
    </row>
    <row r="15" spans="1:9" x14ac:dyDescent="0.25">
      <c r="A15" s="25">
        <v>10</v>
      </c>
      <c r="B15" s="26" t="s">
        <v>11</v>
      </c>
      <c r="C15" s="40">
        <v>70067</v>
      </c>
      <c r="D15" s="40">
        <v>2</v>
      </c>
      <c r="E15" s="40">
        <f t="shared" si="0"/>
        <v>140134</v>
      </c>
      <c r="F15" s="41">
        <f t="shared" si="1"/>
        <v>384</v>
      </c>
      <c r="G15" s="42">
        <f t="shared" si="2"/>
        <v>119531</v>
      </c>
      <c r="I15" s="35"/>
    </row>
    <row r="16" spans="1:9" x14ac:dyDescent="0.25">
      <c r="A16" s="25">
        <v>11</v>
      </c>
      <c r="B16" s="26" t="s">
        <v>12</v>
      </c>
      <c r="C16" s="40">
        <v>70743</v>
      </c>
      <c r="D16" s="40">
        <v>3</v>
      </c>
      <c r="E16" s="40">
        <f t="shared" si="0"/>
        <v>212229</v>
      </c>
      <c r="F16" s="41">
        <f t="shared" si="1"/>
        <v>581</v>
      </c>
      <c r="G16" s="42">
        <f t="shared" si="2"/>
        <v>180853</v>
      </c>
      <c r="I16" s="35"/>
    </row>
    <row r="17" spans="1:9" x14ac:dyDescent="0.25">
      <c r="A17" s="25">
        <v>12</v>
      </c>
      <c r="B17" s="26" t="s">
        <v>13</v>
      </c>
      <c r="C17" s="40">
        <v>49398</v>
      </c>
      <c r="D17" s="40">
        <v>3</v>
      </c>
      <c r="E17" s="40">
        <f t="shared" si="0"/>
        <v>148194</v>
      </c>
      <c r="F17" s="41">
        <f t="shared" si="1"/>
        <v>406</v>
      </c>
      <c r="G17" s="42">
        <f t="shared" si="2"/>
        <v>126379</v>
      </c>
      <c r="I17" s="35"/>
    </row>
    <row r="18" spans="1:9" x14ac:dyDescent="0.25">
      <c r="A18" s="25">
        <v>13</v>
      </c>
      <c r="B18" s="26" t="s">
        <v>14</v>
      </c>
      <c r="C18" s="40">
        <v>23069</v>
      </c>
      <c r="D18" s="40">
        <v>3</v>
      </c>
      <c r="E18" s="40">
        <f t="shared" si="0"/>
        <v>69207</v>
      </c>
      <c r="F18" s="41">
        <f t="shared" si="1"/>
        <v>190</v>
      </c>
      <c r="G18" s="42">
        <f t="shared" si="2"/>
        <v>59143</v>
      </c>
      <c r="I18" s="35"/>
    </row>
    <row r="19" spans="1:9" x14ac:dyDescent="0.25">
      <c r="A19" s="25">
        <v>14</v>
      </c>
      <c r="B19" s="26" t="s">
        <v>15</v>
      </c>
      <c r="C19" s="40">
        <v>78781</v>
      </c>
      <c r="D19" s="40">
        <v>3</v>
      </c>
      <c r="E19" s="40">
        <f t="shared" si="0"/>
        <v>236343</v>
      </c>
      <c r="F19" s="41">
        <f t="shared" si="1"/>
        <v>648</v>
      </c>
      <c r="G19" s="42">
        <f t="shared" si="2"/>
        <v>201708</v>
      </c>
      <c r="I19" s="35"/>
    </row>
    <row r="20" spans="1:9" x14ac:dyDescent="0.25">
      <c r="A20" s="25">
        <v>15</v>
      </c>
      <c r="B20" s="26" t="s">
        <v>16</v>
      </c>
      <c r="C20" s="40">
        <v>24631</v>
      </c>
      <c r="D20" s="40">
        <v>3</v>
      </c>
      <c r="E20" s="40">
        <f t="shared" si="0"/>
        <v>73893</v>
      </c>
      <c r="F20" s="41">
        <f t="shared" si="1"/>
        <v>202</v>
      </c>
      <c r="G20" s="42">
        <f t="shared" si="2"/>
        <v>62878</v>
      </c>
      <c r="I20" s="35"/>
    </row>
    <row r="21" spans="1:9" x14ac:dyDescent="0.25">
      <c r="A21" s="25">
        <v>16</v>
      </c>
      <c r="B21" s="26" t="s">
        <v>17</v>
      </c>
      <c r="C21" s="40">
        <v>25869</v>
      </c>
      <c r="D21" s="40">
        <v>3</v>
      </c>
      <c r="E21" s="40">
        <f t="shared" si="0"/>
        <v>77607</v>
      </c>
      <c r="F21" s="41">
        <f t="shared" si="1"/>
        <v>213</v>
      </c>
      <c r="G21" s="42">
        <f t="shared" si="2"/>
        <v>66302</v>
      </c>
      <c r="I21" s="35"/>
    </row>
    <row r="22" spans="1:9" x14ac:dyDescent="0.25">
      <c r="A22" s="25">
        <v>17</v>
      </c>
      <c r="B22" s="26" t="s">
        <v>18</v>
      </c>
      <c r="C22" s="40">
        <v>55951</v>
      </c>
      <c r="D22" s="40">
        <v>3</v>
      </c>
      <c r="E22" s="40">
        <f t="shared" si="0"/>
        <v>167853</v>
      </c>
      <c r="F22" s="41">
        <f t="shared" si="1"/>
        <v>460</v>
      </c>
      <c r="G22" s="42">
        <f t="shared" si="2"/>
        <v>143188</v>
      </c>
      <c r="I22" s="35"/>
    </row>
    <row r="23" spans="1:9" x14ac:dyDescent="0.25">
      <c r="A23" s="25">
        <v>18</v>
      </c>
      <c r="B23" s="26" t="s">
        <v>19</v>
      </c>
      <c r="C23" s="40">
        <v>516320</v>
      </c>
      <c r="D23" s="40">
        <v>1</v>
      </c>
      <c r="E23" s="40">
        <f t="shared" si="0"/>
        <v>516320</v>
      </c>
      <c r="F23" s="41">
        <f t="shared" si="1"/>
        <v>1415</v>
      </c>
      <c r="G23" s="42">
        <f t="shared" si="2"/>
        <v>440459</v>
      </c>
      <c r="I23" s="35"/>
    </row>
    <row r="24" spans="1:9" x14ac:dyDescent="0.25">
      <c r="A24" s="30"/>
      <c r="B24" s="30"/>
      <c r="C24" s="43"/>
      <c r="D24" s="43"/>
      <c r="E24" s="44">
        <f>SUM(E6:E23)</f>
        <v>25610141</v>
      </c>
      <c r="F24" s="43"/>
      <c r="G24" s="45">
        <f>SUM(G6:G23)</f>
        <v>21840833</v>
      </c>
      <c r="I24" s="35"/>
    </row>
    <row r="26" spans="1:9" x14ac:dyDescent="0.25">
      <c r="A26" s="36"/>
      <c r="B26" s="36"/>
      <c r="C26" s="36"/>
      <c r="G26" s="37"/>
    </row>
    <row r="31" spans="1:9" x14ac:dyDescent="0.25">
      <c r="C31" s="34" t="s">
        <v>35</v>
      </c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opLeftCell="A9" workbookViewId="0">
      <selection activeCell="C45" sqref="C45"/>
    </sheetView>
  </sheetViews>
  <sheetFormatPr defaultRowHeight="15.75" x14ac:dyDescent="0.25"/>
  <cols>
    <col min="1" max="1" width="6.28515625" style="34" customWidth="1"/>
    <col min="2" max="2" width="37.7109375" style="34" customWidth="1"/>
    <col min="3" max="3" width="26.28515625" style="47" customWidth="1"/>
    <col min="4" max="4" width="13.7109375" style="48" hidden="1" customWidth="1"/>
    <col min="5" max="5" width="0.5703125" style="47" hidden="1" customWidth="1"/>
    <col min="6" max="6" width="23.7109375" style="47" customWidth="1"/>
    <col min="7" max="16384" width="9.140625" style="34"/>
  </cols>
  <sheetData>
    <row r="2" spans="1:6" x14ac:dyDescent="0.25">
      <c r="A2" s="54" t="s">
        <v>36</v>
      </c>
      <c r="B2" s="54"/>
      <c r="C2" s="54"/>
      <c r="D2" s="54"/>
      <c r="E2" s="54"/>
      <c r="F2" s="54"/>
    </row>
    <row r="4" spans="1:6" ht="84" customHeight="1" x14ac:dyDescent="0.25">
      <c r="A4" s="22" t="s">
        <v>0</v>
      </c>
      <c r="B4" s="22" t="s">
        <v>1</v>
      </c>
      <c r="C4" s="22" t="s">
        <v>27</v>
      </c>
      <c r="D4" s="22" t="s">
        <v>21</v>
      </c>
      <c r="E4" s="22" t="s">
        <v>22</v>
      </c>
      <c r="F4" s="22" t="s">
        <v>25</v>
      </c>
    </row>
    <row r="5" spans="1:6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4">
        <v>4</v>
      </c>
    </row>
    <row r="6" spans="1:6" x14ac:dyDescent="0.25">
      <c r="A6" s="25">
        <v>1</v>
      </c>
      <c r="B6" s="26" t="s">
        <v>2</v>
      </c>
      <c r="C6" s="49">
        <f>1759303.1/10000</f>
        <v>175.93</v>
      </c>
      <c r="D6" s="50">
        <v>4049</v>
      </c>
      <c r="E6" s="28">
        <f>C6*D6</f>
        <v>712340.57</v>
      </c>
      <c r="F6" s="38">
        <f>E6*0.902955</f>
        <v>643211</v>
      </c>
    </row>
    <row r="7" spans="1:6" x14ac:dyDescent="0.25">
      <c r="A7" s="25">
        <v>2</v>
      </c>
      <c r="B7" s="26" t="s">
        <v>3</v>
      </c>
      <c r="C7" s="49">
        <f>503653.9/10000</f>
        <v>50.37</v>
      </c>
      <c r="D7" s="50">
        <v>4049</v>
      </c>
      <c r="E7" s="28">
        <f t="shared" ref="E7:E22" si="0">C7*D7</f>
        <v>203948.13</v>
      </c>
      <c r="F7" s="38">
        <f>E7*0.90296</f>
        <v>184157</v>
      </c>
    </row>
    <row r="8" spans="1:6" x14ac:dyDescent="0.25">
      <c r="A8" s="25">
        <v>3</v>
      </c>
      <c r="B8" s="26" t="s">
        <v>4</v>
      </c>
      <c r="C8" s="49">
        <f>177529.9/10000</f>
        <v>17.75</v>
      </c>
      <c r="D8" s="50">
        <v>4049</v>
      </c>
      <c r="E8" s="28">
        <f t="shared" si="0"/>
        <v>71869.75</v>
      </c>
      <c r="F8" s="38">
        <f t="shared" ref="F8:F21" si="1">E8*0.90296</f>
        <v>64896</v>
      </c>
    </row>
    <row r="9" spans="1:6" x14ac:dyDescent="0.25">
      <c r="A9" s="25">
        <v>4</v>
      </c>
      <c r="B9" s="26" t="s">
        <v>5</v>
      </c>
      <c r="C9" s="49">
        <f>300730.5/10000</f>
        <v>30.07</v>
      </c>
      <c r="D9" s="50">
        <v>4049</v>
      </c>
      <c r="E9" s="28">
        <f t="shared" si="0"/>
        <v>121753.43</v>
      </c>
      <c r="F9" s="38">
        <f t="shared" si="1"/>
        <v>109938</v>
      </c>
    </row>
    <row r="10" spans="1:6" x14ac:dyDescent="0.25">
      <c r="A10" s="25">
        <v>5</v>
      </c>
      <c r="B10" s="26" t="s">
        <v>6</v>
      </c>
      <c r="C10" s="49">
        <f>235810.3/10000</f>
        <v>23.58</v>
      </c>
      <c r="D10" s="50">
        <v>4049</v>
      </c>
      <c r="E10" s="28">
        <f t="shared" si="0"/>
        <v>95475.42</v>
      </c>
      <c r="F10" s="38">
        <f t="shared" si="1"/>
        <v>86210</v>
      </c>
    </row>
    <row r="11" spans="1:6" x14ac:dyDescent="0.25">
      <c r="A11" s="25">
        <v>6</v>
      </c>
      <c r="B11" s="26" t="s">
        <v>7</v>
      </c>
      <c r="C11" s="49">
        <f>122761.6/10000</f>
        <v>12.28</v>
      </c>
      <c r="D11" s="50">
        <v>4049</v>
      </c>
      <c r="E11" s="28">
        <f t="shared" si="0"/>
        <v>49721.72</v>
      </c>
      <c r="F11" s="38">
        <f t="shared" si="1"/>
        <v>44897</v>
      </c>
    </row>
    <row r="12" spans="1:6" x14ac:dyDescent="0.25">
      <c r="A12" s="25">
        <v>7</v>
      </c>
      <c r="B12" s="26" t="s">
        <v>8</v>
      </c>
      <c r="C12" s="49">
        <f>165107.7/10000</f>
        <v>16.510000000000002</v>
      </c>
      <c r="D12" s="50">
        <v>4049</v>
      </c>
      <c r="E12" s="28">
        <f t="shared" si="0"/>
        <v>66848.990000000005</v>
      </c>
      <c r="F12" s="38">
        <f t="shared" si="1"/>
        <v>60362</v>
      </c>
    </row>
    <row r="13" spans="1:6" x14ac:dyDescent="0.25">
      <c r="A13" s="25">
        <v>8</v>
      </c>
      <c r="B13" s="26" t="s">
        <v>9</v>
      </c>
      <c r="C13" s="49">
        <f>115577.5/10000</f>
        <v>11.56</v>
      </c>
      <c r="D13" s="50">
        <v>4049</v>
      </c>
      <c r="E13" s="28">
        <f t="shared" si="0"/>
        <v>46806.44</v>
      </c>
      <c r="F13" s="38">
        <f t="shared" si="1"/>
        <v>42264</v>
      </c>
    </row>
    <row r="14" spans="1:6" x14ac:dyDescent="0.25">
      <c r="A14" s="25">
        <v>9</v>
      </c>
      <c r="B14" s="26" t="s">
        <v>10</v>
      </c>
      <c r="C14" s="49">
        <f>77555.9/10000</f>
        <v>7.76</v>
      </c>
      <c r="D14" s="50">
        <v>4049</v>
      </c>
      <c r="E14" s="28">
        <f t="shared" si="0"/>
        <v>31420.240000000002</v>
      </c>
      <c r="F14" s="38">
        <f t="shared" si="1"/>
        <v>28371</v>
      </c>
    </row>
    <row r="15" spans="1:6" x14ac:dyDescent="0.25">
      <c r="A15" s="25">
        <v>10</v>
      </c>
      <c r="B15" s="26" t="s">
        <v>11</v>
      </c>
      <c r="C15" s="49">
        <f>70067.1/10000</f>
        <v>7.01</v>
      </c>
      <c r="D15" s="50">
        <v>4049</v>
      </c>
      <c r="E15" s="28">
        <f t="shared" si="0"/>
        <v>28383.49</v>
      </c>
      <c r="F15" s="38">
        <f>E15*0.90295</f>
        <v>25629</v>
      </c>
    </row>
    <row r="16" spans="1:6" x14ac:dyDescent="0.25">
      <c r="A16" s="25">
        <v>11</v>
      </c>
      <c r="B16" s="26" t="s">
        <v>12</v>
      </c>
      <c r="C16" s="49">
        <f>70743.3/10000</f>
        <v>7.07</v>
      </c>
      <c r="D16" s="50">
        <v>4049</v>
      </c>
      <c r="E16" s="28">
        <f t="shared" si="0"/>
        <v>28626.43</v>
      </c>
      <c r="F16" s="38">
        <f t="shared" si="1"/>
        <v>25849</v>
      </c>
    </row>
    <row r="17" spans="1:6" x14ac:dyDescent="0.25">
      <c r="A17" s="25">
        <v>12</v>
      </c>
      <c r="B17" s="26" t="s">
        <v>13</v>
      </c>
      <c r="C17" s="49">
        <f>49398.2/10000</f>
        <v>4.9400000000000004</v>
      </c>
      <c r="D17" s="50">
        <v>4049</v>
      </c>
      <c r="E17" s="28">
        <f t="shared" si="0"/>
        <v>20002.060000000001</v>
      </c>
      <c r="F17" s="38">
        <f t="shared" si="1"/>
        <v>18061</v>
      </c>
    </row>
    <row r="18" spans="1:6" x14ac:dyDescent="0.25">
      <c r="A18" s="25">
        <v>13</v>
      </c>
      <c r="B18" s="26" t="s">
        <v>14</v>
      </c>
      <c r="C18" s="49">
        <f>23068.5/10000</f>
        <v>2.31</v>
      </c>
      <c r="D18" s="50">
        <v>4049</v>
      </c>
      <c r="E18" s="28">
        <f t="shared" si="0"/>
        <v>9353.19</v>
      </c>
      <c r="F18" s="38">
        <f t="shared" si="1"/>
        <v>8446</v>
      </c>
    </row>
    <row r="19" spans="1:6" x14ac:dyDescent="0.25">
      <c r="A19" s="25">
        <v>14</v>
      </c>
      <c r="B19" s="26" t="s">
        <v>15</v>
      </c>
      <c r="C19" s="49">
        <f>78781.4/10000</f>
        <v>7.88</v>
      </c>
      <c r="D19" s="50">
        <v>4049</v>
      </c>
      <c r="E19" s="28">
        <f t="shared" si="0"/>
        <v>31906.12</v>
      </c>
      <c r="F19" s="38">
        <f t="shared" si="1"/>
        <v>28810</v>
      </c>
    </row>
    <row r="20" spans="1:6" x14ac:dyDescent="0.25">
      <c r="A20" s="25">
        <v>15</v>
      </c>
      <c r="B20" s="26" t="s">
        <v>16</v>
      </c>
      <c r="C20" s="49">
        <f>24631.2/10000</f>
        <v>2.46</v>
      </c>
      <c r="D20" s="50">
        <v>4049</v>
      </c>
      <c r="E20" s="28">
        <f t="shared" si="0"/>
        <v>9960.5400000000009</v>
      </c>
      <c r="F20" s="38">
        <f t="shared" si="1"/>
        <v>8994</v>
      </c>
    </row>
    <row r="21" spans="1:6" x14ac:dyDescent="0.25">
      <c r="A21" s="25">
        <v>16</v>
      </c>
      <c r="B21" s="26" t="s">
        <v>17</v>
      </c>
      <c r="C21" s="49">
        <f>25868.8/10000</f>
        <v>2.59</v>
      </c>
      <c r="D21" s="50">
        <v>4049</v>
      </c>
      <c r="E21" s="28">
        <f t="shared" si="0"/>
        <v>10486.91</v>
      </c>
      <c r="F21" s="38">
        <f t="shared" si="1"/>
        <v>9469</v>
      </c>
    </row>
    <row r="22" spans="1:6" x14ac:dyDescent="0.25">
      <c r="A22" s="25">
        <v>17</v>
      </c>
      <c r="B22" s="26" t="s">
        <v>18</v>
      </c>
      <c r="C22" s="49">
        <f>55951/10000</f>
        <v>5.6</v>
      </c>
      <c r="D22" s="50">
        <v>4049</v>
      </c>
      <c r="E22" s="28">
        <f t="shared" si="0"/>
        <v>22674.400000000001</v>
      </c>
      <c r="F22" s="38">
        <f>E22*0.90295</f>
        <v>20474</v>
      </c>
    </row>
    <row r="23" spans="1:6" x14ac:dyDescent="0.25">
      <c r="A23" s="25">
        <v>18</v>
      </c>
      <c r="B23" s="26" t="s">
        <v>19</v>
      </c>
      <c r="C23" s="49">
        <f>516320/10000</f>
        <v>51.63</v>
      </c>
      <c r="D23" s="50">
        <v>4049</v>
      </c>
      <c r="E23" s="28">
        <f>C23*D23</f>
        <v>209049.87</v>
      </c>
      <c r="F23" s="38">
        <f>E23*0.90295</f>
        <v>188762</v>
      </c>
    </row>
    <row r="24" spans="1:6" x14ac:dyDescent="0.25">
      <c r="A24" s="30"/>
      <c r="B24" s="30"/>
      <c r="C24" s="32"/>
      <c r="D24" s="51"/>
      <c r="E24" s="52">
        <f>SUM(E6:E23)</f>
        <v>1770627.7</v>
      </c>
      <c r="F24" s="39">
        <f>SUM(F6:F23)</f>
        <v>1598800</v>
      </c>
    </row>
    <row r="25" spans="1:6" ht="35.25" customHeight="1" x14ac:dyDescent="0.25"/>
    <row r="32" spans="1:6" ht="6.75" customHeight="1" x14ac:dyDescent="0.25"/>
  </sheetData>
  <mergeCells count="1">
    <mergeCell ref="A2:F2"/>
  </mergeCells>
  <pageMargins left="0.31496062992125984" right="0.39370078740157483" top="0.55118110236220474" bottom="0.74803149606299213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opLeftCell="A10" zoomScale="120" zoomScaleNormal="120" workbookViewId="0">
      <selection activeCell="B36" sqref="B36"/>
    </sheetView>
  </sheetViews>
  <sheetFormatPr defaultRowHeight="15" x14ac:dyDescent="0.25"/>
  <cols>
    <col min="1" max="1" width="4.5703125" style="1" customWidth="1"/>
    <col min="2" max="2" width="35.140625" style="1" customWidth="1"/>
    <col min="3" max="3" width="23.28515625" style="13" customWidth="1"/>
    <col min="4" max="4" width="0.42578125" style="12" hidden="1" customWidth="1"/>
    <col min="5" max="5" width="25.85546875" style="12" customWidth="1"/>
    <col min="6" max="6" width="9.140625" style="1"/>
    <col min="7" max="7" width="16.42578125" style="1" bestFit="1" customWidth="1"/>
    <col min="8" max="16384" width="9.140625" style="1"/>
  </cols>
  <sheetData>
    <row r="2" spans="1:7" ht="18.75" x14ac:dyDescent="0.3">
      <c r="B2" s="21" t="s">
        <v>37</v>
      </c>
      <c r="C2" s="20"/>
      <c r="D2" s="20"/>
      <c r="E2" s="20"/>
    </row>
    <row r="4" spans="1:7" ht="106.5" customHeight="1" x14ac:dyDescent="0.25">
      <c r="A4" s="22" t="s">
        <v>0</v>
      </c>
      <c r="B4" s="22" t="s">
        <v>1</v>
      </c>
      <c r="C4" s="23" t="s">
        <v>28</v>
      </c>
      <c r="D4" s="22" t="s">
        <v>21</v>
      </c>
      <c r="E4" s="22" t="s">
        <v>25</v>
      </c>
    </row>
    <row r="5" spans="1:7" ht="15.75" x14ac:dyDescent="0.25">
      <c r="A5" s="22">
        <v>1</v>
      </c>
      <c r="B5" s="22">
        <v>2</v>
      </c>
      <c r="C5" s="23">
        <v>3</v>
      </c>
      <c r="D5" s="22">
        <v>5</v>
      </c>
      <c r="E5" s="24">
        <v>5</v>
      </c>
    </row>
    <row r="6" spans="1:7" ht="15.75" x14ac:dyDescent="0.25">
      <c r="A6" s="25">
        <v>1</v>
      </c>
      <c r="B6" s="26" t="s">
        <v>2</v>
      </c>
      <c r="C6" s="27">
        <f>297*24</f>
        <v>7128</v>
      </c>
      <c r="D6" s="28">
        <v>89.48</v>
      </c>
      <c r="E6" s="29">
        <f t="shared" ref="E6:E12" si="0">D6*C6*1.0362215</f>
        <v>660916</v>
      </c>
      <c r="G6" s="6"/>
    </row>
    <row r="7" spans="1:7" ht="15.75" x14ac:dyDescent="0.25">
      <c r="A7" s="25">
        <v>2</v>
      </c>
      <c r="B7" s="26" t="s">
        <v>3</v>
      </c>
      <c r="C7" s="27">
        <f t="shared" ref="C7:C12" si="1">297*24</f>
        <v>7128</v>
      </c>
      <c r="D7" s="28">
        <v>89.48</v>
      </c>
      <c r="E7" s="29">
        <f t="shared" si="0"/>
        <v>660916</v>
      </c>
      <c r="G7" s="6"/>
    </row>
    <row r="8" spans="1:7" ht="15.75" x14ac:dyDescent="0.25">
      <c r="A8" s="25">
        <v>3</v>
      </c>
      <c r="B8" s="26" t="s">
        <v>4</v>
      </c>
      <c r="C8" s="27">
        <f t="shared" si="1"/>
        <v>7128</v>
      </c>
      <c r="D8" s="28">
        <v>89.48</v>
      </c>
      <c r="E8" s="29">
        <f t="shared" si="0"/>
        <v>660916</v>
      </c>
      <c r="G8" s="6"/>
    </row>
    <row r="9" spans="1:7" ht="15.75" x14ac:dyDescent="0.25">
      <c r="A9" s="25">
        <v>4</v>
      </c>
      <c r="B9" s="26" t="s">
        <v>5</v>
      </c>
      <c r="C9" s="27">
        <f t="shared" si="1"/>
        <v>7128</v>
      </c>
      <c r="D9" s="28">
        <v>89.48</v>
      </c>
      <c r="E9" s="29">
        <f t="shared" si="0"/>
        <v>660916</v>
      </c>
      <c r="G9" s="6"/>
    </row>
    <row r="10" spans="1:7" ht="15.75" x14ac:dyDescent="0.25">
      <c r="A10" s="25">
        <v>5</v>
      </c>
      <c r="B10" s="26" t="s">
        <v>6</v>
      </c>
      <c r="C10" s="27">
        <f t="shared" si="1"/>
        <v>7128</v>
      </c>
      <c r="D10" s="28">
        <v>89.48</v>
      </c>
      <c r="E10" s="29">
        <f t="shared" si="0"/>
        <v>660916</v>
      </c>
      <c r="G10" s="6"/>
    </row>
    <row r="11" spans="1:7" ht="15.75" x14ac:dyDescent="0.25">
      <c r="A11" s="25">
        <v>6</v>
      </c>
      <c r="B11" s="26" t="s">
        <v>7</v>
      </c>
      <c r="C11" s="27">
        <f t="shared" si="1"/>
        <v>7128</v>
      </c>
      <c r="D11" s="28">
        <v>89.48</v>
      </c>
      <c r="E11" s="29">
        <f t="shared" si="0"/>
        <v>660916</v>
      </c>
      <c r="G11" s="6"/>
    </row>
    <row r="12" spans="1:7" ht="15.75" x14ac:dyDescent="0.25">
      <c r="A12" s="25">
        <v>7</v>
      </c>
      <c r="B12" s="26" t="s">
        <v>8</v>
      </c>
      <c r="C12" s="27">
        <f t="shared" si="1"/>
        <v>7128</v>
      </c>
      <c r="D12" s="28">
        <v>89.48</v>
      </c>
      <c r="E12" s="29">
        <f t="shared" si="0"/>
        <v>660916</v>
      </c>
      <c r="G12" s="6"/>
    </row>
    <row r="13" spans="1:7" ht="15.75" x14ac:dyDescent="0.25">
      <c r="A13" s="25">
        <v>8</v>
      </c>
      <c r="B13" s="26" t="s">
        <v>9</v>
      </c>
      <c r="C13" s="27">
        <f>183*24</f>
        <v>4392</v>
      </c>
      <c r="D13" s="28">
        <v>89.48</v>
      </c>
      <c r="E13" s="29">
        <f>D13*C13*1.036223</f>
        <v>407232</v>
      </c>
      <c r="G13" s="6"/>
    </row>
    <row r="14" spans="1:7" ht="15.75" x14ac:dyDescent="0.25">
      <c r="A14" s="25">
        <v>9</v>
      </c>
      <c r="B14" s="26" t="s">
        <v>10</v>
      </c>
      <c r="C14" s="27">
        <f>297*24</f>
        <v>7128</v>
      </c>
      <c r="D14" s="28">
        <v>89.48</v>
      </c>
      <c r="E14" s="29">
        <f t="shared" ref="E14:E23" si="2">D14*C14*1.0362215</f>
        <v>660916</v>
      </c>
      <c r="G14" s="6"/>
    </row>
    <row r="15" spans="1:7" ht="15.75" x14ac:dyDescent="0.25">
      <c r="A15" s="25">
        <v>10</v>
      </c>
      <c r="B15" s="26" t="s">
        <v>11</v>
      </c>
      <c r="C15" s="27">
        <f>297*24</f>
        <v>7128</v>
      </c>
      <c r="D15" s="28">
        <v>89.48</v>
      </c>
      <c r="E15" s="29">
        <f t="shared" si="2"/>
        <v>660916</v>
      </c>
      <c r="G15" s="6"/>
    </row>
    <row r="16" spans="1:7" ht="15.75" x14ac:dyDescent="0.25">
      <c r="A16" s="25">
        <v>11</v>
      </c>
      <c r="B16" s="26" t="s">
        <v>12</v>
      </c>
      <c r="C16" s="27">
        <v>0</v>
      </c>
      <c r="D16" s="28">
        <v>89.48</v>
      </c>
      <c r="E16" s="29">
        <f t="shared" si="2"/>
        <v>0</v>
      </c>
      <c r="G16" s="6"/>
    </row>
    <row r="17" spans="1:7" ht="15.75" x14ac:dyDescent="0.25">
      <c r="A17" s="25">
        <v>12</v>
      </c>
      <c r="B17" s="26" t="s">
        <v>13</v>
      </c>
      <c r="C17" s="27">
        <v>0</v>
      </c>
      <c r="D17" s="28">
        <v>89.48</v>
      </c>
      <c r="E17" s="29">
        <f t="shared" si="2"/>
        <v>0</v>
      </c>
      <c r="G17" s="6"/>
    </row>
    <row r="18" spans="1:7" ht="15.75" x14ac:dyDescent="0.25">
      <c r="A18" s="25">
        <v>13</v>
      </c>
      <c r="B18" s="26" t="s">
        <v>14</v>
      </c>
      <c r="C18" s="27">
        <v>0</v>
      </c>
      <c r="D18" s="28">
        <v>89.48</v>
      </c>
      <c r="E18" s="29">
        <f t="shared" si="2"/>
        <v>0</v>
      </c>
      <c r="G18" s="6"/>
    </row>
    <row r="19" spans="1:7" ht="15.75" x14ac:dyDescent="0.25">
      <c r="A19" s="25">
        <v>14</v>
      </c>
      <c r="B19" s="26" t="s">
        <v>15</v>
      </c>
      <c r="C19" s="27">
        <v>0</v>
      </c>
      <c r="D19" s="28">
        <v>89.48</v>
      </c>
      <c r="E19" s="29">
        <f t="shared" si="2"/>
        <v>0</v>
      </c>
      <c r="G19" s="6"/>
    </row>
    <row r="20" spans="1:7" ht="15.75" x14ac:dyDescent="0.25">
      <c r="A20" s="25">
        <v>15</v>
      </c>
      <c r="B20" s="26" t="s">
        <v>16</v>
      </c>
      <c r="C20" s="27">
        <v>0</v>
      </c>
      <c r="D20" s="28">
        <v>89.48</v>
      </c>
      <c r="E20" s="29">
        <f t="shared" si="2"/>
        <v>0</v>
      </c>
      <c r="G20" s="6"/>
    </row>
    <row r="21" spans="1:7" ht="15.75" x14ac:dyDescent="0.25">
      <c r="A21" s="25">
        <v>16</v>
      </c>
      <c r="B21" s="26" t="s">
        <v>17</v>
      </c>
      <c r="C21" s="27">
        <v>0</v>
      </c>
      <c r="D21" s="28">
        <v>89.48</v>
      </c>
      <c r="E21" s="29">
        <f t="shared" si="2"/>
        <v>0</v>
      </c>
      <c r="G21" s="6"/>
    </row>
    <row r="22" spans="1:7" ht="15.75" x14ac:dyDescent="0.25">
      <c r="A22" s="25">
        <v>17</v>
      </c>
      <c r="B22" s="26" t="s">
        <v>18</v>
      </c>
      <c r="C22" s="27">
        <v>0</v>
      </c>
      <c r="D22" s="28">
        <v>89.48</v>
      </c>
      <c r="E22" s="29">
        <f t="shared" si="2"/>
        <v>0</v>
      </c>
      <c r="G22" s="6"/>
    </row>
    <row r="23" spans="1:7" ht="15.75" x14ac:dyDescent="0.25">
      <c r="A23" s="25">
        <v>18</v>
      </c>
      <c r="B23" s="26" t="s">
        <v>19</v>
      </c>
      <c r="C23" s="27">
        <f>297*24</f>
        <v>7128</v>
      </c>
      <c r="D23" s="28">
        <v>89.48</v>
      </c>
      <c r="E23" s="29">
        <f t="shared" si="2"/>
        <v>660916</v>
      </c>
      <c r="G23" s="6"/>
    </row>
    <row r="24" spans="1:7" ht="15.75" x14ac:dyDescent="0.25">
      <c r="A24" s="30"/>
      <c r="B24" s="30"/>
      <c r="C24" s="31">
        <f>SUM(C6:C23)</f>
        <v>75672</v>
      </c>
      <c r="D24" s="32"/>
      <c r="E24" s="33">
        <f>SUM(E6:E23)</f>
        <v>7016392</v>
      </c>
      <c r="G24" s="6"/>
    </row>
    <row r="25" spans="1:7" ht="4.5" customHeight="1" x14ac:dyDescent="0.25"/>
    <row r="26" spans="1:7" x14ac:dyDescent="0.25">
      <c r="A26" s="55"/>
      <c r="B26" s="55"/>
    </row>
  </sheetData>
  <mergeCells count="1">
    <mergeCell ref="A26:B26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workbookViewId="0">
      <selection activeCell="I9" sqref="I9"/>
    </sheetView>
  </sheetViews>
  <sheetFormatPr defaultRowHeight="15" x14ac:dyDescent="0.25"/>
  <cols>
    <col min="1" max="1" width="4.7109375" style="1" customWidth="1"/>
    <col min="2" max="2" width="46.42578125" style="1" customWidth="1"/>
    <col min="3" max="3" width="39.42578125" style="1" customWidth="1"/>
    <col min="4" max="16384" width="9.140625" style="1"/>
  </cols>
  <sheetData>
    <row r="2" spans="1:3" ht="31.5" customHeight="1" x14ac:dyDescent="0.25">
      <c r="A2" s="56" t="s">
        <v>43</v>
      </c>
      <c r="B2" s="56"/>
      <c r="C2" s="56"/>
    </row>
    <row r="4" spans="1:3" ht="63.75" customHeight="1" x14ac:dyDescent="0.25">
      <c r="A4" s="2" t="s">
        <v>0</v>
      </c>
      <c r="B4" s="2" t="s">
        <v>29</v>
      </c>
      <c r="C4" s="2" t="s">
        <v>38</v>
      </c>
    </row>
    <row r="5" spans="1:3" ht="15.75" x14ac:dyDescent="0.25">
      <c r="A5" s="3">
        <v>1</v>
      </c>
      <c r="B5" s="14" t="s">
        <v>26</v>
      </c>
      <c r="C5" s="15">
        <f>'Содержание кладбищ'!G24</f>
        <v>21840833</v>
      </c>
    </row>
    <row r="6" spans="1:3" ht="22.5" customHeight="1" x14ac:dyDescent="0.25">
      <c r="A6" s="3">
        <v>2</v>
      </c>
      <c r="B6" s="14" t="s">
        <v>30</v>
      </c>
      <c r="C6" s="15">
        <f>Акаризация!F24</f>
        <v>1598800</v>
      </c>
    </row>
    <row r="7" spans="1:3" ht="24.75" customHeight="1" x14ac:dyDescent="0.25">
      <c r="A7" s="3">
        <v>3</v>
      </c>
      <c r="B7" s="14" t="s">
        <v>31</v>
      </c>
      <c r="C7" s="15">
        <f>'Содержание КПП'!E24</f>
        <v>7016392</v>
      </c>
    </row>
    <row r="8" spans="1:3" ht="24" customHeight="1" x14ac:dyDescent="0.25">
      <c r="A8" s="3"/>
      <c r="B8" s="14" t="s">
        <v>32</v>
      </c>
      <c r="C8" s="16">
        <f>SUM(C5:C7)</f>
        <v>30456025</v>
      </c>
    </row>
    <row r="10" spans="1:3" ht="29.25" customHeight="1" x14ac:dyDescent="0.25">
      <c r="B10" s="57" t="s">
        <v>33</v>
      </c>
      <c r="C10" s="57"/>
    </row>
    <row r="11" spans="1:3" ht="38.25" customHeight="1" x14ac:dyDescent="0.25">
      <c r="B11" s="57"/>
      <c r="C11" s="57"/>
    </row>
  </sheetData>
  <mergeCells count="2">
    <mergeCell ref="A2:C2"/>
    <mergeCell ref="B10:C11"/>
  </mergeCells>
  <pageMargins left="0.51181102362204722" right="0.31496062992125984" top="0.35433070866141736" bottom="0.35433070866141736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tabSelected="1" workbookViewId="0">
      <selection activeCell="N23" sqref="N23"/>
    </sheetView>
  </sheetViews>
  <sheetFormatPr defaultRowHeight="15" x14ac:dyDescent="0.25"/>
  <cols>
    <col min="1" max="1" width="4.5703125" style="1" customWidth="1"/>
    <col min="2" max="2" width="25.42578125" style="1" customWidth="1"/>
    <col min="3" max="3" width="13.42578125" style="1" customWidth="1"/>
    <col min="4" max="4" width="14" style="1" hidden="1" customWidth="1"/>
    <col min="5" max="5" width="16.5703125" style="1" hidden="1" customWidth="1"/>
    <col min="6" max="6" width="15" style="1" hidden="1" customWidth="1"/>
    <col min="7" max="7" width="16" style="1" bestFit="1" customWidth="1"/>
    <col min="8" max="8" width="15.85546875" style="1" customWidth="1"/>
    <col min="9" max="9" width="15" style="1" customWidth="1"/>
    <col min="10" max="10" width="13.7109375" style="1" customWidth="1"/>
    <col min="11" max="16384" width="9.140625" style="1"/>
  </cols>
  <sheetData>
    <row r="2" spans="1:10" ht="30.75" customHeight="1" x14ac:dyDescent="0.25">
      <c r="B2" s="58" t="s">
        <v>34</v>
      </c>
      <c r="C2" s="58"/>
      <c r="D2" s="58"/>
      <c r="E2" s="58"/>
      <c r="F2" s="58"/>
      <c r="G2" s="58"/>
      <c r="H2" s="58"/>
      <c r="I2" s="58"/>
      <c r="J2" s="58"/>
    </row>
    <row r="4" spans="1:10" x14ac:dyDescent="0.25">
      <c r="A4" s="60" t="s">
        <v>0</v>
      </c>
      <c r="B4" s="60" t="s">
        <v>1</v>
      </c>
      <c r="C4" s="60" t="s">
        <v>20</v>
      </c>
      <c r="D4" s="3"/>
      <c r="E4" s="3"/>
      <c r="F4" s="3"/>
      <c r="G4" s="61" t="s">
        <v>42</v>
      </c>
      <c r="H4" s="61"/>
      <c r="I4" s="61"/>
      <c r="J4" s="61"/>
    </row>
    <row r="5" spans="1:10" x14ac:dyDescent="0.25">
      <c r="A5" s="60"/>
      <c r="B5" s="60"/>
      <c r="C5" s="60"/>
      <c r="D5" s="3"/>
      <c r="E5" s="3"/>
      <c r="F5" s="3"/>
      <c r="G5" s="62" t="s">
        <v>32</v>
      </c>
      <c r="H5" s="63" t="s">
        <v>41</v>
      </c>
      <c r="I5" s="63"/>
      <c r="J5" s="63"/>
    </row>
    <row r="6" spans="1:10" ht="34.5" customHeight="1" x14ac:dyDescent="0.25">
      <c r="A6" s="60"/>
      <c r="B6" s="60"/>
      <c r="C6" s="60"/>
      <c r="D6" s="2" t="s">
        <v>21</v>
      </c>
      <c r="E6" s="2" t="s">
        <v>22</v>
      </c>
      <c r="F6" s="2" t="s">
        <v>24</v>
      </c>
      <c r="G6" s="62"/>
      <c r="H6" s="2" t="s">
        <v>39</v>
      </c>
      <c r="I6" s="2" t="s">
        <v>40</v>
      </c>
      <c r="J6" s="2" t="s">
        <v>31</v>
      </c>
    </row>
    <row r="7" spans="1:10" ht="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 t="s">
        <v>23</v>
      </c>
      <c r="G7" s="2">
        <v>4</v>
      </c>
      <c r="H7" s="2">
        <v>6</v>
      </c>
      <c r="I7" s="2">
        <v>7</v>
      </c>
      <c r="J7" s="2">
        <v>8</v>
      </c>
    </row>
    <row r="8" spans="1:10" x14ac:dyDescent="0.25">
      <c r="A8" s="4">
        <v>1</v>
      </c>
      <c r="B8" s="5" t="s">
        <v>2</v>
      </c>
      <c r="C8" s="46">
        <v>1759303</v>
      </c>
      <c r="D8" s="17">
        <v>9</v>
      </c>
      <c r="E8" s="17">
        <f>C8*D8</f>
        <v>15833727</v>
      </c>
      <c r="F8" s="18">
        <f>E8/365</f>
        <v>43380</v>
      </c>
      <c r="G8" s="18">
        <f>SUM(H8:J8)</f>
        <v>14807374</v>
      </c>
      <c r="H8" s="15">
        <f>'Содержание кладбищ'!G6</f>
        <v>13503247</v>
      </c>
      <c r="I8" s="19">
        <f>Акаризация!F6</f>
        <v>643211</v>
      </c>
      <c r="J8" s="15">
        <f>'Содержание КПП'!E6</f>
        <v>660916</v>
      </c>
    </row>
    <row r="9" spans="1:10" x14ac:dyDescent="0.25">
      <c r="A9" s="4">
        <v>2</v>
      </c>
      <c r="B9" s="5" t="s">
        <v>3</v>
      </c>
      <c r="C9" s="46">
        <v>503654</v>
      </c>
      <c r="D9" s="17">
        <v>5</v>
      </c>
      <c r="E9" s="17">
        <f t="shared" ref="E9:E25" si="0">C9*D9</f>
        <v>2518270</v>
      </c>
      <c r="F9" s="18">
        <f t="shared" ref="F9:F25" si="1">E9/365</f>
        <v>6899</v>
      </c>
      <c r="G9" s="18">
        <f t="shared" ref="G9:G25" si="2">SUM(H9:J9)</f>
        <v>2992581</v>
      </c>
      <c r="H9" s="15">
        <f>'Содержание кладбищ'!G7</f>
        <v>2147508</v>
      </c>
      <c r="I9" s="19">
        <f>Акаризация!F7</f>
        <v>184157</v>
      </c>
      <c r="J9" s="15">
        <f>'Содержание КПП'!E7</f>
        <v>660916</v>
      </c>
    </row>
    <row r="10" spans="1:10" x14ac:dyDescent="0.25">
      <c r="A10" s="4">
        <v>3</v>
      </c>
      <c r="B10" s="5" t="s">
        <v>4</v>
      </c>
      <c r="C10" s="46">
        <v>177530</v>
      </c>
      <c r="D10" s="17">
        <v>6</v>
      </c>
      <c r="E10" s="17">
        <f t="shared" si="0"/>
        <v>1065180</v>
      </c>
      <c r="F10" s="18">
        <f t="shared" si="1"/>
        <v>2918</v>
      </c>
      <c r="G10" s="18">
        <f t="shared" si="2"/>
        <v>1634122</v>
      </c>
      <c r="H10" s="15">
        <f>'Содержание кладбищ'!G8</f>
        <v>908310</v>
      </c>
      <c r="I10" s="19">
        <f>Акаризация!F8</f>
        <v>64896</v>
      </c>
      <c r="J10" s="15">
        <f>'Содержание КПП'!E8</f>
        <v>660916</v>
      </c>
    </row>
    <row r="11" spans="1:10" x14ac:dyDescent="0.25">
      <c r="A11" s="4">
        <v>4</v>
      </c>
      <c r="B11" s="5" t="s">
        <v>5</v>
      </c>
      <c r="C11" s="46">
        <v>300731</v>
      </c>
      <c r="D11" s="17">
        <v>4</v>
      </c>
      <c r="E11" s="17">
        <f t="shared" si="0"/>
        <v>1202924</v>
      </c>
      <c r="F11" s="18">
        <f t="shared" si="1"/>
        <v>3296</v>
      </c>
      <c r="G11" s="18">
        <f t="shared" si="2"/>
        <v>1796827</v>
      </c>
      <c r="H11" s="15">
        <f>'Содержание кладбищ'!G9</f>
        <v>1025973</v>
      </c>
      <c r="I11" s="19">
        <f>Акаризация!F9</f>
        <v>109938</v>
      </c>
      <c r="J11" s="15">
        <f>'Содержание КПП'!E9</f>
        <v>660916</v>
      </c>
    </row>
    <row r="12" spans="1:10" x14ac:dyDescent="0.25">
      <c r="A12" s="4">
        <v>5</v>
      </c>
      <c r="B12" s="5" t="s">
        <v>6</v>
      </c>
      <c r="C12" s="46">
        <v>235810</v>
      </c>
      <c r="D12" s="17">
        <v>4</v>
      </c>
      <c r="E12" s="17">
        <f t="shared" si="0"/>
        <v>943240</v>
      </c>
      <c r="F12" s="18">
        <f t="shared" si="1"/>
        <v>2584</v>
      </c>
      <c r="G12" s="18">
        <f t="shared" si="2"/>
        <v>1551469</v>
      </c>
      <c r="H12" s="15">
        <f>'Содержание кладбищ'!G10</f>
        <v>804343</v>
      </c>
      <c r="I12" s="19">
        <f>Акаризация!F10</f>
        <v>86210</v>
      </c>
      <c r="J12" s="15">
        <f>'Содержание КПП'!E10</f>
        <v>660916</v>
      </c>
    </row>
    <row r="13" spans="1:10" x14ac:dyDescent="0.25">
      <c r="A13" s="4">
        <v>6</v>
      </c>
      <c r="B13" s="5" t="s">
        <v>7</v>
      </c>
      <c r="C13" s="46">
        <v>122762</v>
      </c>
      <c r="D13" s="17">
        <v>5</v>
      </c>
      <c r="E13" s="17">
        <f t="shared" si="0"/>
        <v>613810</v>
      </c>
      <c r="F13" s="18">
        <f t="shared" si="1"/>
        <v>1682</v>
      </c>
      <c r="G13" s="18">
        <f t="shared" si="2"/>
        <v>1229383</v>
      </c>
      <c r="H13" s="15">
        <f>'Содержание кладбищ'!G11</f>
        <v>523570</v>
      </c>
      <c r="I13" s="19">
        <f>Акаризация!F11</f>
        <v>44897</v>
      </c>
      <c r="J13" s="15">
        <f>'Содержание КПП'!E11</f>
        <v>660916</v>
      </c>
    </row>
    <row r="14" spans="1:10" x14ac:dyDescent="0.25">
      <c r="A14" s="4">
        <v>7</v>
      </c>
      <c r="B14" s="5" t="s">
        <v>8</v>
      </c>
      <c r="C14" s="46">
        <v>165108</v>
      </c>
      <c r="D14" s="17">
        <v>5</v>
      </c>
      <c r="E14" s="17">
        <f t="shared" si="0"/>
        <v>825540</v>
      </c>
      <c r="F14" s="18">
        <f t="shared" si="1"/>
        <v>2262</v>
      </c>
      <c r="G14" s="18">
        <f t="shared" si="2"/>
        <v>1425389</v>
      </c>
      <c r="H14" s="15">
        <f>'Содержание кладбищ'!G12</f>
        <v>704111</v>
      </c>
      <c r="I14" s="19">
        <f>Акаризация!F12</f>
        <v>60362</v>
      </c>
      <c r="J14" s="15">
        <f>'Содержание КПП'!E12</f>
        <v>660916</v>
      </c>
    </row>
    <row r="15" spans="1:10" x14ac:dyDescent="0.25">
      <c r="A15" s="4">
        <v>8</v>
      </c>
      <c r="B15" s="5" t="s">
        <v>9</v>
      </c>
      <c r="C15" s="46">
        <v>115578</v>
      </c>
      <c r="D15" s="17">
        <v>5</v>
      </c>
      <c r="E15" s="17">
        <f t="shared" si="0"/>
        <v>577890</v>
      </c>
      <c r="F15" s="18">
        <f t="shared" si="1"/>
        <v>1583</v>
      </c>
      <c r="G15" s="18">
        <f t="shared" si="2"/>
        <v>942249</v>
      </c>
      <c r="H15" s="15">
        <f>'Содержание кладбищ'!G13</f>
        <v>492753</v>
      </c>
      <c r="I15" s="19">
        <f>Акаризация!F13</f>
        <v>42264</v>
      </c>
      <c r="J15" s="15">
        <f>'Содержание КПП'!E13</f>
        <v>407232</v>
      </c>
    </row>
    <row r="16" spans="1:10" x14ac:dyDescent="0.25">
      <c r="A16" s="4">
        <v>9</v>
      </c>
      <c r="B16" s="5" t="s">
        <v>10</v>
      </c>
      <c r="C16" s="46">
        <v>77556</v>
      </c>
      <c r="D16" s="17">
        <v>5</v>
      </c>
      <c r="E16" s="17">
        <f t="shared" si="0"/>
        <v>387780</v>
      </c>
      <c r="F16" s="18">
        <f t="shared" si="1"/>
        <v>1062</v>
      </c>
      <c r="G16" s="18">
        <f t="shared" si="2"/>
        <v>1019864</v>
      </c>
      <c r="H16" s="15">
        <f>'Содержание кладбищ'!G14</f>
        <v>330577</v>
      </c>
      <c r="I16" s="19">
        <f>Акаризация!F14</f>
        <v>28371</v>
      </c>
      <c r="J16" s="15">
        <f>'Содержание КПП'!E14</f>
        <v>660916</v>
      </c>
    </row>
    <row r="17" spans="1:10" x14ac:dyDescent="0.25">
      <c r="A17" s="4">
        <v>10</v>
      </c>
      <c r="B17" s="5" t="s">
        <v>11</v>
      </c>
      <c r="C17" s="46">
        <v>70067</v>
      </c>
      <c r="D17" s="17">
        <v>2</v>
      </c>
      <c r="E17" s="17">
        <f t="shared" si="0"/>
        <v>140134</v>
      </c>
      <c r="F17" s="18">
        <f t="shared" si="1"/>
        <v>384</v>
      </c>
      <c r="G17" s="18">
        <f t="shared" si="2"/>
        <v>806076</v>
      </c>
      <c r="H17" s="15">
        <f>'Содержание кладбищ'!G15</f>
        <v>119531</v>
      </c>
      <c r="I17" s="19">
        <f>Акаризация!F15</f>
        <v>25629</v>
      </c>
      <c r="J17" s="15">
        <f>'Содержание КПП'!E15</f>
        <v>660916</v>
      </c>
    </row>
    <row r="18" spans="1:10" x14ac:dyDescent="0.25">
      <c r="A18" s="4">
        <v>11</v>
      </c>
      <c r="B18" s="5" t="s">
        <v>12</v>
      </c>
      <c r="C18" s="46">
        <v>70743</v>
      </c>
      <c r="D18" s="17">
        <v>3</v>
      </c>
      <c r="E18" s="17">
        <f t="shared" si="0"/>
        <v>212229</v>
      </c>
      <c r="F18" s="18">
        <f t="shared" si="1"/>
        <v>581</v>
      </c>
      <c r="G18" s="18">
        <f t="shared" si="2"/>
        <v>206702</v>
      </c>
      <c r="H18" s="15">
        <f>'Содержание кладбищ'!G16</f>
        <v>180853</v>
      </c>
      <c r="I18" s="19">
        <f>Акаризация!F16</f>
        <v>25849</v>
      </c>
      <c r="J18" s="15">
        <f>'Содержание КПП'!E16</f>
        <v>0</v>
      </c>
    </row>
    <row r="19" spans="1:10" x14ac:dyDescent="0.25">
      <c r="A19" s="4">
        <v>12</v>
      </c>
      <c r="B19" s="5" t="s">
        <v>13</v>
      </c>
      <c r="C19" s="46">
        <v>49398</v>
      </c>
      <c r="D19" s="17">
        <v>3</v>
      </c>
      <c r="E19" s="17">
        <f t="shared" si="0"/>
        <v>148194</v>
      </c>
      <c r="F19" s="18">
        <f t="shared" si="1"/>
        <v>406</v>
      </c>
      <c r="G19" s="18">
        <f t="shared" si="2"/>
        <v>144440</v>
      </c>
      <c r="H19" s="15">
        <f>'Содержание кладбищ'!G17</f>
        <v>126379</v>
      </c>
      <c r="I19" s="19">
        <f>Акаризация!F17</f>
        <v>18061</v>
      </c>
      <c r="J19" s="15">
        <f>'Содержание КПП'!E17</f>
        <v>0</v>
      </c>
    </row>
    <row r="20" spans="1:10" x14ac:dyDescent="0.25">
      <c r="A20" s="4">
        <v>13</v>
      </c>
      <c r="B20" s="5" t="s">
        <v>14</v>
      </c>
      <c r="C20" s="46">
        <v>23069</v>
      </c>
      <c r="D20" s="17">
        <v>3</v>
      </c>
      <c r="E20" s="17">
        <f t="shared" si="0"/>
        <v>69207</v>
      </c>
      <c r="F20" s="18">
        <f t="shared" si="1"/>
        <v>190</v>
      </c>
      <c r="G20" s="18">
        <f t="shared" si="2"/>
        <v>67589</v>
      </c>
      <c r="H20" s="15">
        <f>'Содержание кладбищ'!G18</f>
        <v>59143</v>
      </c>
      <c r="I20" s="19">
        <f>Акаризация!F18</f>
        <v>8446</v>
      </c>
      <c r="J20" s="15">
        <f>'Содержание КПП'!E18</f>
        <v>0</v>
      </c>
    </row>
    <row r="21" spans="1:10" x14ac:dyDescent="0.25">
      <c r="A21" s="4">
        <v>14</v>
      </c>
      <c r="B21" s="5" t="s">
        <v>15</v>
      </c>
      <c r="C21" s="46">
        <v>78781</v>
      </c>
      <c r="D21" s="17">
        <v>3</v>
      </c>
      <c r="E21" s="17">
        <f t="shared" si="0"/>
        <v>236343</v>
      </c>
      <c r="F21" s="18">
        <f t="shared" si="1"/>
        <v>648</v>
      </c>
      <c r="G21" s="18">
        <f t="shared" si="2"/>
        <v>230518</v>
      </c>
      <c r="H21" s="15">
        <f>'Содержание кладбищ'!G19</f>
        <v>201708</v>
      </c>
      <c r="I21" s="19">
        <f>Акаризация!F19</f>
        <v>28810</v>
      </c>
      <c r="J21" s="15">
        <f>'Содержание КПП'!E19</f>
        <v>0</v>
      </c>
    </row>
    <row r="22" spans="1:10" x14ac:dyDescent="0.25">
      <c r="A22" s="4">
        <v>15</v>
      </c>
      <c r="B22" s="5" t="s">
        <v>16</v>
      </c>
      <c r="C22" s="46">
        <v>24631</v>
      </c>
      <c r="D22" s="17">
        <v>3</v>
      </c>
      <c r="E22" s="17">
        <f t="shared" si="0"/>
        <v>73893</v>
      </c>
      <c r="F22" s="18">
        <f t="shared" si="1"/>
        <v>202</v>
      </c>
      <c r="G22" s="18">
        <f t="shared" si="2"/>
        <v>71872</v>
      </c>
      <c r="H22" s="15">
        <f>'Содержание кладбищ'!G20</f>
        <v>62878</v>
      </c>
      <c r="I22" s="19">
        <f>Акаризация!F20</f>
        <v>8994</v>
      </c>
      <c r="J22" s="15">
        <f>'Содержание КПП'!E20</f>
        <v>0</v>
      </c>
    </row>
    <row r="23" spans="1:10" x14ac:dyDescent="0.25">
      <c r="A23" s="4">
        <v>16</v>
      </c>
      <c r="B23" s="5" t="s">
        <v>17</v>
      </c>
      <c r="C23" s="46">
        <v>25869</v>
      </c>
      <c r="D23" s="17">
        <v>3</v>
      </c>
      <c r="E23" s="17">
        <f t="shared" si="0"/>
        <v>77607</v>
      </c>
      <c r="F23" s="18">
        <f t="shared" si="1"/>
        <v>213</v>
      </c>
      <c r="G23" s="18">
        <f t="shared" si="2"/>
        <v>75771</v>
      </c>
      <c r="H23" s="15">
        <f>'Содержание кладбищ'!G21</f>
        <v>66302</v>
      </c>
      <c r="I23" s="19">
        <f>Акаризация!F21</f>
        <v>9469</v>
      </c>
      <c r="J23" s="15">
        <f>'Содержание КПП'!E21</f>
        <v>0</v>
      </c>
    </row>
    <row r="24" spans="1:10" x14ac:dyDescent="0.25">
      <c r="A24" s="4">
        <v>17</v>
      </c>
      <c r="B24" s="5" t="s">
        <v>18</v>
      </c>
      <c r="C24" s="46">
        <v>55951</v>
      </c>
      <c r="D24" s="17">
        <v>3</v>
      </c>
      <c r="E24" s="17">
        <f t="shared" si="0"/>
        <v>167853</v>
      </c>
      <c r="F24" s="18">
        <f t="shared" si="1"/>
        <v>460</v>
      </c>
      <c r="G24" s="18">
        <f t="shared" si="2"/>
        <v>163662</v>
      </c>
      <c r="H24" s="15">
        <f>'Содержание кладбищ'!G22</f>
        <v>143188</v>
      </c>
      <c r="I24" s="19">
        <f>Акаризация!F22</f>
        <v>20474</v>
      </c>
      <c r="J24" s="15">
        <f>'Содержание КПП'!E22</f>
        <v>0</v>
      </c>
    </row>
    <row r="25" spans="1:10" x14ac:dyDescent="0.25">
      <c r="A25" s="4">
        <v>18</v>
      </c>
      <c r="B25" s="5" t="s">
        <v>19</v>
      </c>
      <c r="C25" s="46">
        <v>516320</v>
      </c>
      <c r="D25" s="17">
        <v>1</v>
      </c>
      <c r="E25" s="17">
        <f t="shared" si="0"/>
        <v>516320</v>
      </c>
      <c r="F25" s="18">
        <f t="shared" si="1"/>
        <v>1415</v>
      </c>
      <c r="G25" s="18">
        <f t="shared" si="2"/>
        <v>1290137</v>
      </c>
      <c r="H25" s="15">
        <f>'Содержание кладбищ'!G23</f>
        <v>440459</v>
      </c>
      <c r="I25" s="19">
        <f>Акаризация!F23</f>
        <v>188762</v>
      </c>
      <c r="J25" s="15">
        <f>'Содержание КПП'!E23</f>
        <v>660916</v>
      </c>
    </row>
    <row r="26" spans="1:10" x14ac:dyDescent="0.25">
      <c r="A26" s="7"/>
      <c r="B26" s="7"/>
      <c r="C26" s="7"/>
      <c r="D26" s="7"/>
      <c r="E26" s="8">
        <f>SUM(E8:E25)</f>
        <v>25610141</v>
      </c>
      <c r="F26" s="7"/>
      <c r="G26" s="16">
        <f>SUM(G8:G25)</f>
        <v>30456025</v>
      </c>
      <c r="H26" s="16">
        <f>SUM(H8:H25)</f>
        <v>21840833</v>
      </c>
      <c r="I26" s="16">
        <f t="shared" ref="I26:J26" si="3">SUM(I8:I25)</f>
        <v>1598800</v>
      </c>
      <c r="J26" s="16">
        <f t="shared" si="3"/>
        <v>7016392</v>
      </c>
    </row>
    <row r="28" spans="1:10" ht="20.25" customHeight="1" x14ac:dyDescent="0.25">
      <c r="C28" s="59"/>
      <c r="D28" s="59"/>
      <c r="E28" s="59"/>
      <c r="F28" s="59"/>
      <c r="G28" s="59"/>
      <c r="H28" s="59"/>
      <c r="I28" s="59"/>
      <c r="J28" s="59"/>
    </row>
    <row r="30" spans="1:10" x14ac:dyDescent="0.25">
      <c r="A30" s="9"/>
      <c r="B30" s="9"/>
      <c r="C30" s="10"/>
      <c r="D30" s="10"/>
      <c r="E30" s="10"/>
      <c r="F30" s="11"/>
      <c r="G30" s="11"/>
      <c r="H30" s="11"/>
      <c r="I30" s="11"/>
      <c r="J30" s="11"/>
    </row>
    <row r="35" spans="3:3" x14ac:dyDescent="0.25">
      <c r="C35" s="1" t="s">
        <v>35</v>
      </c>
    </row>
  </sheetData>
  <mergeCells count="8">
    <mergeCell ref="B2:J2"/>
    <mergeCell ref="C28:J28"/>
    <mergeCell ref="A4:A6"/>
    <mergeCell ref="B4:B6"/>
    <mergeCell ref="C4:C6"/>
    <mergeCell ref="G4:J4"/>
    <mergeCell ref="G5:G6"/>
    <mergeCell ref="H5:J5"/>
  </mergeCells>
  <pageMargins left="0.23622047244094491" right="0.23622047244094491" top="0.74803149606299213" bottom="0.74803149606299213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Содержание кладбищ</vt:lpstr>
      <vt:lpstr>Акаризация</vt:lpstr>
      <vt:lpstr>Содержание КПП</vt:lpstr>
      <vt:lpstr>Свод на аукцион</vt:lpstr>
      <vt:lpstr>Свод по кладбищам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2013-10-22T05:57:50Z</dcterms:modified>
</cp:coreProperties>
</file>