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comments6.xml" ContentType="application/vnd.openxmlformats-officedocument.spreadsheetml.comment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0755" windowHeight="8010" tabRatio="938" firstSheet="2" activeTab="4"/>
  </bookViews>
  <sheets>
    <sheet name="с 21.12.2015-20.12.2016  " sheetId="40" state="hidden" r:id="rId1"/>
    <sheet name="с 21.12.2014-20.12.2015 " sheetId="39" state="hidden" r:id="rId2"/>
    <sheet name="2014" sheetId="41" r:id="rId3"/>
    <sheet name="2015" sheetId="43" r:id="rId4"/>
    <sheet name="разбивка " sheetId="44" r:id="rId5"/>
    <sheet name="с 21.12.2013-20.12.2014" sheetId="29" state="hidden" r:id="rId6"/>
    <sheet name="стоимость содержания" sheetId="2" state="hidden" r:id="rId7"/>
    <sheet name="перечень расценок" sheetId="3" state="hidden" r:id="rId8"/>
    <sheet name="ресурсы" sheetId="4" state="hidden" r:id="rId9"/>
    <sheet name="ФОТ" sheetId="20" state="hidden" r:id="rId10"/>
    <sheet name="к.Асф.покрытие" sheetId="5" state="hidden" r:id="rId11"/>
    <sheet name="к.Плит.покрытие" sheetId="6" state="hidden" r:id="rId12"/>
    <sheet name="к.Урны" sheetId="7" state="hidden" r:id="rId13"/>
    <sheet name="к.Газоны" sheetId="8" state="hidden" r:id="rId14"/>
    <sheet name="к.Кошение" sheetId="9" state="hidden" r:id="rId15"/>
    <sheet name="к.Кустарники" sheetId="10" state="hidden" r:id="rId16"/>
    <sheet name="к.Живая изгородь" sheetId="11" state="hidden" r:id="rId17"/>
    <sheet name="к. Однолетники" sheetId="13" state="hidden" r:id="rId18"/>
    <sheet name="к.Многолетники" sheetId="14" state="hidden" r:id="rId19"/>
    <sheet name="к.Покраска" sheetId="15" state="hidden" r:id="rId20"/>
    <sheet name="к.Рыхление" sheetId="16" state="hidden" r:id="rId21"/>
    <sheet name="к. Дорожки зима" sheetId="17" state="hidden" r:id="rId22"/>
    <sheet name="к.Скамьи" sheetId="18" state="hidden" r:id="rId23"/>
    <sheet name="ручная оч. дорож" sheetId="23" state="hidden" r:id="rId24"/>
    <sheet name="руч. уборка  площад. со спорти" sheetId="25" state="hidden" r:id="rId25"/>
    <sheet name="спорт. пл. промывка покраска" sheetId="27" state="hidden" r:id="rId26"/>
    <sheet name="промывка ограждения" sheetId="32" state="hidden" r:id="rId27"/>
    <sheet name="расчетна конечный рез. " sheetId="35" state="hidden" r:id="rId28"/>
    <sheet name="колонны" sheetId="33" state="hidden" r:id="rId29"/>
    <sheet name="расчет по работам (2)" sheetId="42" state="hidden" r:id="rId30"/>
    <sheet name="расчет по работам" sheetId="34" state="hidden" r:id="rId31"/>
    <sheet name="деревья" sheetId="36" state="hidden" r:id="rId32"/>
  </sheets>
  <externalReferences>
    <externalReference r:id="rId33"/>
    <externalReference r:id="rId34"/>
    <externalReference r:id="rId35"/>
  </externalReferences>
  <calcPr calcId="124519"/>
</workbook>
</file>

<file path=xl/calcChain.xml><?xml version="1.0" encoding="utf-8"?>
<calcChain xmlns="http://schemas.openxmlformats.org/spreadsheetml/2006/main">
  <c r="H166" i="44"/>
  <c r="I166"/>
  <c r="Q14"/>
  <c r="N14" s="1"/>
  <c r="H14"/>
  <c r="I14"/>
  <c r="G14" s="1"/>
  <c r="M166"/>
  <c r="J166" s="1"/>
  <c r="H159"/>
  <c r="G159" s="1"/>
  <c r="H158"/>
  <c r="G158" s="1"/>
  <c r="H157"/>
  <c r="G157" s="1"/>
  <c r="AD157" s="1"/>
  <c r="C157"/>
  <c r="H156"/>
  <c r="G156" s="1"/>
  <c r="AD156" s="1"/>
  <c r="C156"/>
  <c r="E156" s="1"/>
  <c r="H155"/>
  <c r="G155" s="1"/>
  <c r="AD155" s="1"/>
  <c r="C155"/>
  <c r="H154"/>
  <c r="G154" s="1"/>
  <c r="AD154" s="1"/>
  <c r="C154"/>
  <c r="E154" s="1"/>
  <c r="H153"/>
  <c r="G153" s="1"/>
  <c r="AD153" s="1"/>
  <c r="C153"/>
  <c r="H152"/>
  <c r="G152"/>
  <c r="AD152" s="1"/>
  <c r="C152"/>
  <c r="E152" s="1"/>
  <c r="H151"/>
  <c r="G151" s="1"/>
  <c r="AD151" s="1"/>
  <c r="C151"/>
  <c r="I150"/>
  <c r="H149"/>
  <c r="G149" s="1"/>
  <c r="AD149" s="1"/>
  <c r="C149"/>
  <c r="E149" s="1"/>
  <c r="H148"/>
  <c r="G148" s="1"/>
  <c r="AD148" s="1"/>
  <c r="E148"/>
  <c r="C148"/>
  <c r="H147"/>
  <c r="G147" s="1"/>
  <c r="AD147" s="1"/>
  <c r="C147"/>
  <c r="H146"/>
  <c r="G146" s="1"/>
  <c r="AD146" s="1"/>
  <c r="H145"/>
  <c r="G145" s="1"/>
  <c r="AD145" s="1"/>
  <c r="C145"/>
  <c r="H144"/>
  <c r="G144" s="1"/>
  <c r="AD144" s="1"/>
  <c r="C144"/>
  <c r="E144" s="1"/>
  <c r="AD143"/>
  <c r="H142"/>
  <c r="G142" s="1"/>
  <c r="AD142" s="1"/>
  <c r="C142"/>
  <c r="H141"/>
  <c r="E141" s="1"/>
  <c r="C141"/>
  <c r="H140"/>
  <c r="G140" s="1"/>
  <c r="AD140" s="1"/>
  <c r="I139"/>
  <c r="AC138"/>
  <c r="H138"/>
  <c r="G138" s="1"/>
  <c r="AD138" s="1"/>
  <c r="C138"/>
  <c r="AC137"/>
  <c r="H137"/>
  <c r="G137" s="1"/>
  <c r="AD137" s="1"/>
  <c r="AC136"/>
  <c r="H136"/>
  <c r="G136" s="1"/>
  <c r="C136"/>
  <c r="AD135"/>
  <c r="AC134"/>
  <c r="H134"/>
  <c r="G134" s="1"/>
  <c r="AD134" s="1"/>
  <c r="C134"/>
  <c r="E134" s="1"/>
  <c r="H133"/>
  <c r="G133" s="1"/>
  <c r="AD133" s="1"/>
  <c r="AC131"/>
  <c r="H131"/>
  <c r="G131" s="1"/>
  <c r="AD131" s="1"/>
  <c r="C131"/>
  <c r="AC130"/>
  <c r="H130"/>
  <c r="G130" s="1"/>
  <c r="AD130" s="1"/>
  <c r="C130"/>
  <c r="AC129"/>
  <c r="H129"/>
  <c r="G129" s="1"/>
  <c r="AD129" s="1"/>
  <c r="C129"/>
  <c r="AD128"/>
  <c r="AC127"/>
  <c r="I127"/>
  <c r="I132" s="1"/>
  <c r="H127"/>
  <c r="D127"/>
  <c r="F127" s="1"/>
  <c r="C127"/>
  <c r="AC126"/>
  <c r="H126"/>
  <c r="C126"/>
  <c r="I125"/>
  <c r="H125"/>
  <c r="I124"/>
  <c r="H123"/>
  <c r="G123" s="1"/>
  <c r="AD123" s="1"/>
  <c r="C123"/>
  <c r="H122"/>
  <c r="G122" s="1"/>
  <c r="AD122" s="1"/>
  <c r="C122"/>
  <c r="H121"/>
  <c r="G121" s="1"/>
  <c r="AD121" s="1"/>
  <c r="C121"/>
  <c r="E121" s="1"/>
  <c r="H120"/>
  <c r="G120" s="1"/>
  <c r="AD120" s="1"/>
  <c r="E120"/>
  <c r="H119"/>
  <c r="G119" s="1"/>
  <c r="H118"/>
  <c r="G118"/>
  <c r="AD118" s="1"/>
  <c r="E118"/>
  <c r="H117"/>
  <c r="G117" s="1"/>
  <c r="AD117" s="1"/>
  <c r="E117"/>
  <c r="C117"/>
  <c r="AD116"/>
  <c r="H115"/>
  <c r="E115"/>
  <c r="C115"/>
  <c r="I114"/>
  <c r="H114"/>
  <c r="I113"/>
  <c r="H112"/>
  <c r="G112"/>
  <c r="AD112" s="1"/>
  <c r="C112"/>
  <c r="E112" s="1"/>
  <c r="H111"/>
  <c r="G111" s="1"/>
  <c r="AD111" s="1"/>
  <c r="C111"/>
  <c r="AD110"/>
  <c r="H109"/>
  <c r="C109"/>
  <c r="I108"/>
  <c r="H108"/>
  <c r="G108" s="1"/>
  <c r="AD108" s="1"/>
  <c r="H106"/>
  <c r="G106"/>
  <c r="AD106" s="1"/>
  <c r="C106"/>
  <c r="E106" s="1"/>
  <c r="H105"/>
  <c r="G105" s="1"/>
  <c r="AD105" s="1"/>
  <c r="C105"/>
  <c r="H104"/>
  <c r="G104" s="1"/>
  <c r="AD104" s="1"/>
  <c r="C104"/>
  <c r="AD103"/>
  <c r="AC102"/>
  <c r="I102"/>
  <c r="I107" s="1"/>
  <c r="H102"/>
  <c r="D102"/>
  <c r="C102"/>
  <c r="H101"/>
  <c r="E101" s="1"/>
  <c r="C101"/>
  <c r="H100"/>
  <c r="G100" s="1"/>
  <c r="AD100" s="1"/>
  <c r="C100"/>
  <c r="I99"/>
  <c r="H99"/>
  <c r="I98"/>
  <c r="H97"/>
  <c r="G97" s="1"/>
  <c r="H96"/>
  <c r="G96" s="1"/>
  <c r="H95"/>
  <c r="G95" s="1"/>
  <c r="AD95" s="1"/>
  <c r="C95"/>
  <c r="H94"/>
  <c r="C94"/>
  <c r="E94" s="1"/>
  <c r="I93"/>
  <c r="H93"/>
  <c r="G93" s="1"/>
  <c r="AD93" s="1"/>
  <c r="H91"/>
  <c r="G91" s="1"/>
  <c r="C91"/>
  <c r="H90"/>
  <c r="G90" s="1"/>
  <c r="AD90" s="1"/>
  <c r="H89"/>
  <c r="G89" s="1"/>
  <c r="AD89" s="1"/>
  <c r="C89"/>
  <c r="H88"/>
  <c r="G88" s="1"/>
  <c r="C88"/>
  <c r="AD87"/>
  <c r="H86"/>
  <c r="C86"/>
  <c r="I85"/>
  <c r="I92" s="1"/>
  <c r="H85"/>
  <c r="H83"/>
  <c r="G83" s="1"/>
  <c r="AD83" s="1"/>
  <c r="C83"/>
  <c r="H82"/>
  <c r="G82" s="1"/>
  <c r="AD82" s="1"/>
  <c r="C82"/>
  <c r="AC81"/>
  <c r="I81"/>
  <c r="I84" s="1"/>
  <c r="H81"/>
  <c r="G81"/>
  <c r="AD81" s="1"/>
  <c r="D81"/>
  <c r="C81"/>
  <c r="E81" s="1"/>
  <c r="H80"/>
  <c r="E80"/>
  <c r="C80"/>
  <c r="I79"/>
  <c r="H79"/>
  <c r="H77"/>
  <c r="G77" s="1"/>
  <c r="AD77" s="1"/>
  <c r="C77"/>
  <c r="H76"/>
  <c r="G76" s="1"/>
  <c r="AD76" s="1"/>
  <c r="C76"/>
  <c r="H75"/>
  <c r="G75" s="1"/>
  <c r="AD75" s="1"/>
  <c r="H74"/>
  <c r="G74" s="1"/>
  <c r="AD74" s="1"/>
  <c r="C74"/>
  <c r="E74" s="1"/>
  <c r="AD73"/>
  <c r="AC72"/>
  <c r="I72"/>
  <c r="I78" s="1"/>
  <c r="H72"/>
  <c r="G72" s="1"/>
  <c r="AD72" s="1"/>
  <c r="D72"/>
  <c r="C72"/>
  <c r="H71"/>
  <c r="E71" s="1"/>
  <c r="C71"/>
  <c r="I70"/>
  <c r="H70"/>
  <c r="I69"/>
  <c r="H68"/>
  <c r="G68" s="1"/>
  <c r="AD68" s="1"/>
  <c r="C68"/>
  <c r="E68" s="1"/>
  <c r="H67"/>
  <c r="C67"/>
  <c r="H66"/>
  <c r="G66" s="1"/>
  <c r="AD66" s="1"/>
  <c r="H64"/>
  <c r="G64" s="1"/>
  <c r="AD64" s="1"/>
  <c r="C64"/>
  <c r="H63"/>
  <c r="G63" s="1"/>
  <c r="AD63" s="1"/>
  <c r="C63"/>
  <c r="H62"/>
  <c r="G62" s="1"/>
  <c r="AD62" s="1"/>
  <c r="C62"/>
  <c r="H61"/>
  <c r="G61" s="1"/>
  <c r="AD61" s="1"/>
  <c r="C61"/>
  <c r="H60"/>
  <c r="G60" s="1"/>
  <c r="AD60" s="1"/>
  <c r="C60"/>
  <c r="AD59"/>
  <c r="AC58"/>
  <c r="I58"/>
  <c r="H58"/>
  <c r="D58"/>
  <c r="F58" s="1"/>
  <c r="C58"/>
  <c r="AC57"/>
  <c r="I57"/>
  <c r="H57"/>
  <c r="D57"/>
  <c r="C57"/>
  <c r="AC56"/>
  <c r="I56"/>
  <c r="H56"/>
  <c r="G56" s="1"/>
  <c r="AD56" s="1"/>
  <c r="D56"/>
  <c r="F56" s="1"/>
  <c r="C56"/>
  <c r="H55"/>
  <c r="G55"/>
  <c r="C55"/>
  <c r="E55" s="1"/>
  <c r="I54"/>
  <c r="H52"/>
  <c r="G52" s="1"/>
  <c r="AD52" s="1"/>
  <c r="E52"/>
  <c r="C52"/>
  <c r="H51"/>
  <c r="G51" s="1"/>
  <c r="AD51" s="1"/>
  <c r="C51"/>
  <c r="H50"/>
  <c r="G50" s="1"/>
  <c r="AD50" s="1"/>
  <c r="C50"/>
  <c r="H49"/>
  <c r="G49" s="1"/>
  <c r="AD49" s="1"/>
  <c r="C49"/>
  <c r="AD48"/>
  <c r="AC47"/>
  <c r="I47"/>
  <c r="H47"/>
  <c r="D47"/>
  <c r="C47"/>
  <c r="AC46"/>
  <c r="I46"/>
  <c r="H46"/>
  <c r="D46"/>
  <c r="F46" s="1"/>
  <c r="C46"/>
  <c r="AC45"/>
  <c r="I45"/>
  <c r="H45"/>
  <c r="D45"/>
  <c r="C45"/>
  <c r="H44"/>
  <c r="E44" s="1"/>
  <c r="C44"/>
  <c r="H41"/>
  <c r="E41" s="1"/>
  <c r="AD40"/>
  <c r="H40"/>
  <c r="E40" s="1"/>
  <c r="I39"/>
  <c r="G39" s="1"/>
  <c r="AD39" s="1"/>
  <c r="D39"/>
  <c r="H38"/>
  <c r="G38" s="1"/>
  <c r="AD38" s="1"/>
  <c r="C38"/>
  <c r="E38" s="1"/>
  <c r="H37"/>
  <c r="G37" s="1"/>
  <c r="AD37" s="1"/>
  <c r="E37"/>
  <c r="H36"/>
  <c r="G36" s="1"/>
  <c r="AD36" s="1"/>
  <c r="E36"/>
  <c r="C36"/>
  <c r="H35"/>
  <c r="G35" s="1"/>
  <c r="AD35" s="1"/>
  <c r="C35"/>
  <c r="AD34"/>
  <c r="I33"/>
  <c r="H33"/>
  <c r="D33"/>
  <c r="F33" s="1"/>
  <c r="C33"/>
  <c r="I32"/>
  <c r="H32"/>
  <c r="D32"/>
  <c r="F32" s="1"/>
  <c r="C32"/>
  <c r="I31"/>
  <c r="H31"/>
  <c r="D31"/>
  <c r="F31" s="1"/>
  <c r="C31"/>
  <c r="H30"/>
  <c r="G30" s="1"/>
  <c r="AD30" s="1"/>
  <c r="C30"/>
  <c r="E30" s="1"/>
  <c r="I29"/>
  <c r="H29"/>
  <c r="G29" s="1"/>
  <c r="AD29" s="1"/>
  <c r="H35" i="43"/>
  <c r="E35" s="1"/>
  <c r="H24"/>
  <c r="H33" s="1"/>
  <c r="I25"/>
  <c r="G25" s="1"/>
  <c r="H148"/>
  <c r="G148" s="1"/>
  <c r="H147"/>
  <c r="G147" s="1"/>
  <c r="I146"/>
  <c r="G146" s="1"/>
  <c r="G35"/>
  <c r="I34"/>
  <c r="H32"/>
  <c r="G32"/>
  <c r="C32"/>
  <c r="E32" s="1"/>
  <c r="C31"/>
  <c r="E31" s="1"/>
  <c r="E30"/>
  <c r="E29"/>
  <c r="E27"/>
  <c r="D27"/>
  <c r="F27" s="1"/>
  <c r="F26"/>
  <c r="E26"/>
  <c r="F25"/>
  <c r="D25"/>
  <c r="E24"/>
  <c r="I19"/>
  <c r="D19"/>
  <c r="C18"/>
  <c r="H17"/>
  <c r="G17" s="1"/>
  <c r="E17"/>
  <c r="C17"/>
  <c r="C16"/>
  <c r="D12"/>
  <c r="C12"/>
  <c r="C11"/>
  <c r="G148" i="41"/>
  <c r="G147"/>
  <c r="H148"/>
  <c r="H147"/>
  <c r="H35"/>
  <c r="G166" i="44" l="1"/>
  <c r="Q166"/>
  <c r="N166" s="1"/>
  <c r="G45"/>
  <c r="AD45" s="1"/>
  <c r="G47"/>
  <c r="AD47" s="1"/>
  <c r="E49"/>
  <c r="E62"/>
  <c r="E63"/>
  <c r="H69"/>
  <c r="E72"/>
  <c r="E75"/>
  <c r="G99"/>
  <c r="AD99" s="1"/>
  <c r="E100"/>
  <c r="G102"/>
  <c r="AD102" s="1"/>
  <c r="E104"/>
  <c r="G125"/>
  <c r="AD125" s="1"/>
  <c r="E35"/>
  <c r="F39"/>
  <c r="H43"/>
  <c r="E45"/>
  <c r="I53"/>
  <c r="G46"/>
  <c r="AD46" s="1"/>
  <c r="E50"/>
  <c r="E51"/>
  <c r="G57"/>
  <c r="AD57" s="1"/>
  <c r="E60"/>
  <c r="E61"/>
  <c r="E64"/>
  <c r="E76"/>
  <c r="E77"/>
  <c r="G85"/>
  <c r="AD85" s="1"/>
  <c r="H98"/>
  <c r="G98" s="1"/>
  <c r="AD98" s="1"/>
  <c r="E95"/>
  <c r="E102"/>
  <c r="H113"/>
  <c r="G113" s="1"/>
  <c r="AD113" s="1"/>
  <c r="E122"/>
  <c r="E123"/>
  <c r="H132"/>
  <c r="G127"/>
  <c r="AD127" s="1"/>
  <c r="E138"/>
  <c r="E142"/>
  <c r="E145"/>
  <c r="E146"/>
  <c r="E147"/>
  <c r="E159"/>
  <c r="G31"/>
  <c r="AD31" s="1"/>
  <c r="G32"/>
  <c r="AD32" s="1"/>
  <c r="G33"/>
  <c r="AD33" s="1"/>
  <c r="H53"/>
  <c r="E47"/>
  <c r="F47"/>
  <c r="H65"/>
  <c r="E57"/>
  <c r="I65"/>
  <c r="G58"/>
  <c r="AD58" s="1"/>
  <c r="E67"/>
  <c r="G70"/>
  <c r="AD70" s="1"/>
  <c r="H78"/>
  <c r="G79"/>
  <c r="AD79" s="1"/>
  <c r="H84"/>
  <c r="E82"/>
  <c r="H92"/>
  <c r="G94"/>
  <c r="AD94" s="1"/>
  <c r="H107"/>
  <c r="G107" s="1"/>
  <c r="AD107" s="1"/>
  <c r="E105"/>
  <c r="E109"/>
  <c r="E111"/>
  <c r="G114"/>
  <c r="AD114" s="1"/>
  <c r="H124"/>
  <c r="G124" s="1"/>
  <c r="AD124" s="1"/>
  <c r="E126"/>
  <c r="E129"/>
  <c r="E130"/>
  <c r="E131"/>
  <c r="H139"/>
  <c r="G139" s="1"/>
  <c r="AD139" s="1"/>
  <c r="H150"/>
  <c r="E151"/>
  <c r="E153"/>
  <c r="E155"/>
  <c r="E157"/>
  <c r="E158"/>
  <c r="E91"/>
  <c r="AD91"/>
  <c r="E97"/>
  <c r="AD97"/>
  <c r="E119"/>
  <c r="AD119"/>
  <c r="AD136"/>
  <c r="E136"/>
  <c r="M14"/>
  <c r="J14" s="1"/>
  <c r="E88"/>
  <c r="AD88"/>
  <c r="E96"/>
  <c r="AD96"/>
  <c r="G132"/>
  <c r="AD132" s="1"/>
  <c r="E31"/>
  <c r="E32"/>
  <c r="E33"/>
  <c r="I43"/>
  <c r="G43" s="1"/>
  <c r="AD43" s="1"/>
  <c r="G44"/>
  <c r="F45"/>
  <c r="E46"/>
  <c r="H54"/>
  <c r="G54" s="1"/>
  <c r="AD54" s="1"/>
  <c r="E56"/>
  <c r="F57"/>
  <c r="E58"/>
  <c r="G67"/>
  <c r="G71"/>
  <c r="F72"/>
  <c r="G80"/>
  <c r="F81"/>
  <c r="E83"/>
  <c r="G86"/>
  <c r="E89"/>
  <c r="E90"/>
  <c r="G101"/>
  <c r="AD101" s="1"/>
  <c r="F102"/>
  <c r="G109"/>
  <c r="AD109" s="1"/>
  <c r="G115"/>
  <c r="AD115" s="1"/>
  <c r="G126"/>
  <c r="AD126" s="1"/>
  <c r="E127"/>
  <c r="E137"/>
  <c r="G141"/>
  <c r="AD55"/>
  <c r="H34" i="43"/>
  <c r="G34" s="1"/>
  <c r="H23"/>
  <c r="I33"/>
  <c r="I23"/>
  <c r="G24"/>
  <c r="G65" i="44" l="1"/>
  <c r="AD65" s="1"/>
  <c r="G84"/>
  <c r="AD84" s="1"/>
  <c r="AD80"/>
  <c r="G78"/>
  <c r="AD78" s="1"/>
  <c r="AD71"/>
  <c r="G53"/>
  <c r="AD53" s="1"/>
  <c r="AD44"/>
  <c r="G150"/>
  <c r="AD150" s="1"/>
  <c r="AD141"/>
  <c r="G92"/>
  <c r="AD92" s="1"/>
  <c r="E86"/>
  <c r="AD86"/>
  <c r="G69"/>
  <c r="AD69" s="1"/>
  <c r="AD67"/>
  <c r="G23" i="43"/>
  <c r="G33"/>
  <c r="H24" i="41" l="1"/>
  <c r="E24" s="1"/>
  <c r="I25"/>
  <c r="D25"/>
  <c r="G24" l="1"/>
  <c r="C16" l="1"/>
  <c r="C18"/>
  <c r="C11"/>
  <c r="C12"/>
  <c r="D12"/>
  <c r="I146"/>
  <c r="G146" s="1"/>
  <c r="G35"/>
  <c r="H32"/>
  <c r="G32" s="1"/>
  <c r="C32"/>
  <c r="C31"/>
  <c r="E31" s="1"/>
  <c r="E29"/>
  <c r="D27"/>
  <c r="F27" s="1"/>
  <c r="F25"/>
  <c r="I23"/>
  <c r="I19"/>
  <c r="D19"/>
  <c r="H17"/>
  <c r="G17" s="1"/>
  <c r="C17"/>
  <c r="G35" i="42"/>
  <c r="D35"/>
  <c r="G34"/>
  <c r="D34"/>
  <c r="G33"/>
  <c r="D33"/>
  <c r="G32"/>
  <c r="D32"/>
  <c r="D31"/>
  <c r="D30"/>
  <c r="D29"/>
  <c r="D19"/>
  <c r="D20" s="1"/>
  <c r="D21" s="1"/>
  <c r="A16"/>
  <c r="A17" s="1"/>
  <c r="A18" s="1"/>
  <c r="A22" s="1"/>
  <c r="G13"/>
  <c r="G12"/>
  <c r="G11"/>
  <c r="G10"/>
  <c r="G9"/>
  <c r="A9"/>
  <c r="A10" s="1"/>
  <c r="A11" s="1"/>
  <c r="A12" s="1"/>
  <c r="A13" s="1"/>
  <c r="G8"/>
  <c r="F6"/>
  <c r="E32" i="41" l="1"/>
  <c r="E35"/>
  <c r="G25"/>
  <c r="E26"/>
  <c r="I33"/>
  <c r="E30"/>
  <c r="E17"/>
  <c r="H33"/>
  <c r="H34"/>
  <c r="H23"/>
  <c r="G23" s="1"/>
  <c r="G33"/>
  <c r="F26"/>
  <c r="E27"/>
  <c r="I34"/>
  <c r="G34" s="1"/>
  <c r="G21" i="42" l="1"/>
  <c r="G29"/>
  <c r="G38"/>
  <c r="G37"/>
  <c r="G36"/>
  <c r="G40"/>
  <c r="G16"/>
  <c r="G20" l="1"/>
  <c r="G18"/>
  <c r="G27"/>
  <c r="G19"/>
  <c r="G39"/>
  <c r="G31"/>
  <c r="G17"/>
  <c r="G23"/>
  <c r="G25"/>
  <c r="G24"/>
  <c r="G28"/>
  <c r="G15"/>
  <c r="E16" i="36"/>
  <c r="G22" i="42" l="1"/>
  <c r="G26"/>
  <c r="G30"/>
  <c r="G41" s="1"/>
  <c r="E20" i="36"/>
  <c r="E21"/>
  <c r="E19"/>
  <c r="G19" s="1"/>
  <c r="J14" i="35"/>
  <c r="F14"/>
  <c r="H14"/>
  <c r="H12" i="40"/>
  <c r="D20" i="35"/>
  <c r="D16"/>
  <c r="D18"/>
  <c r="F2"/>
  <c r="E2"/>
  <c r="I12" i="39"/>
  <c r="H12"/>
  <c r="H5"/>
  <c r="H5" i="40"/>
  <c r="AT13"/>
  <c r="AS13"/>
  <c r="AT14" s="1"/>
  <c r="AR13"/>
  <c r="AK13"/>
  <c r="AH13"/>
  <c r="AE13"/>
  <c r="AC13"/>
  <c r="R13"/>
  <c r="N13"/>
  <c r="L13"/>
  <c r="D13"/>
  <c r="C13"/>
  <c r="I12"/>
  <c r="AR14" s="1"/>
  <c r="AT13" i="39"/>
  <c r="AS13"/>
  <c r="AT14" s="1"/>
  <c r="AR13"/>
  <c r="AK13"/>
  <c r="AH13"/>
  <c r="AE13"/>
  <c r="AC13"/>
  <c r="R13"/>
  <c r="N13"/>
  <c r="L13"/>
  <c r="D13"/>
  <c r="C13"/>
  <c r="AR14"/>
  <c r="G21" i="36"/>
  <c r="G20"/>
  <c r="G16"/>
  <c r="H2" i="35" l="1"/>
  <c r="J2" s="1"/>
  <c r="G2"/>
  <c r="I2" s="1"/>
  <c r="D26" i="3"/>
  <c r="F30" i="2" s="1"/>
  <c r="K28"/>
  <c r="H30"/>
  <c r="I30"/>
  <c r="K34"/>
  <c r="AX10" i="29"/>
  <c r="E39" i="42" l="1"/>
  <c r="F39" s="1"/>
  <c r="AX10" i="40"/>
  <c r="AX13" s="1"/>
  <c r="AX14" s="1"/>
  <c r="AX10" i="39"/>
  <c r="AX13" s="1"/>
  <c r="AX14" s="1"/>
  <c r="Z10" i="40"/>
  <c r="Z10" i="39"/>
  <c r="I24" i="35"/>
  <c r="J24" s="1"/>
  <c r="G24"/>
  <c r="H24" s="1"/>
  <c r="Z13" i="40" l="1"/>
  <c r="Z14"/>
  <c r="Z13" i="39"/>
  <c r="Z14"/>
  <c r="Z10" i="29"/>
  <c r="K30" i="2"/>
  <c r="E37" i="42" s="1"/>
  <c r="F37" s="1"/>
  <c r="AC13" i="29" l="1"/>
  <c r="AK13"/>
  <c r="D13"/>
  <c r="J41" i="33"/>
  <c r="F35" i="2" s="1"/>
  <c r="D28" i="3"/>
  <c r="F33" i="2" s="1"/>
  <c r="D25" i="3"/>
  <c r="D9"/>
  <c r="AZ10" i="39" l="1"/>
  <c r="AZ13" s="1"/>
  <c r="AZ14" s="1"/>
  <c r="AZ10" i="40"/>
  <c r="AZ13" s="1"/>
  <c r="AZ14" s="1"/>
  <c r="AZ10" i="29"/>
  <c r="AZ13" s="1"/>
  <c r="AZ14" s="1"/>
  <c r="G26" i="35"/>
  <c r="H26" s="1"/>
  <c r="I26"/>
  <c r="J26" s="1"/>
  <c r="K35" i="2"/>
  <c r="E40" i="42" s="1"/>
  <c r="F40" s="1"/>
  <c r="D30" i="3"/>
  <c r="AV10" i="40"/>
  <c r="AV10" i="39"/>
  <c r="G25" i="35"/>
  <c r="H25" s="1"/>
  <c r="I25"/>
  <c r="J25" s="1"/>
  <c r="F14" i="2"/>
  <c r="F29"/>
  <c r="I29"/>
  <c r="H29"/>
  <c r="K33"/>
  <c r="E38" i="42" s="1"/>
  <c r="F38" s="1"/>
  <c r="AV10" i="29"/>
  <c r="H19" i="43" l="1"/>
  <c r="H19" i="41"/>
  <c r="K14" i="2"/>
  <c r="E21" i="42"/>
  <c r="F21" s="1"/>
  <c r="AV14" i="40"/>
  <c r="AV13"/>
  <c r="AV14" i="39"/>
  <c r="AV13"/>
  <c r="V10"/>
  <c r="V10" i="40"/>
  <c r="I23" i="35"/>
  <c r="J23" s="1"/>
  <c r="G23"/>
  <c r="H23" s="1"/>
  <c r="V10" i="29"/>
  <c r="K29" i="2"/>
  <c r="E36" i="42" s="1"/>
  <c r="F36" s="1"/>
  <c r="E47" i="7"/>
  <c r="G47" s="1"/>
  <c r="D22" i="35"/>
  <c r="A16"/>
  <c r="A17" s="1"/>
  <c r="A18" s="1"/>
  <c r="A19" s="1"/>
  <c r="D15"/>
  <c r="D9"/>
  <c r="A8"/>
  <c r="A9" s="1"/>
  <c r="A10" s="1"/>
  <c r="A11" s="1"/>
  <c r="F12" i="5"/>
  <c r="H4" i="34"/>
  <c r="I4" s="1"/>
  <c r="J4" s="1"/>
  <c r="K4" s="1"/>
  <c r="L4" s="1"/>
  <c r="M4" s="1"/>
  <c r="N4" s="1"/>
  <c r="O4" s="1"/>
  <c r="P4" s="1"/>
  <c r="Q4" s="1"/>
  <c r="R4" s="1"/>
  <c r="S4" s="1"/>
  <c r="T14"/>
  <c r="S30"/>
  <c r="R30"/>
  <c r="Q30"/>
  <c r="M31"/>
  <c r="M32" s="1"/>
  <c r="P34"/>
  <c r="G13"/>
  <c r="G12"/>
  <c r="G11"/>
  <c r="G10"/>
  <c r="G9"/>
  <c r="G8"/>
  <c r="K38"/>
  <c r="K37"/>
  <c r="K36"/>
  <c r="K35"/>
  <c r="K31"/>
  <c r="K29"/>
  <c r="K28"/>
  <c r="K25"/>
  <c r="K23"/>
  <c r="K19"/>
  <c r="G35"/>
  <c r="G34"/>
  <c r="G33"/>
  <c r="G32"/>
  <c r="O40"/>
  <c r="O39"/>
  <c r="O38"/>
  <c r="O37"/>
  <c r="O36"/>
  <c r="O33"/>
  <c r="O32"/>
  <c r="O31"/>
  <c r="O29"/>
  <c r="O27"/>
  <c r="O25"/>
  <c r="O24"/>
  <c r="O21"/>
  <c r="H26"/>
  <c r="H5"/>
  <c r="F6"/>
  <c r="D35"/>
  <c r="D34"/>
  <c r="D33"/>
  <c r="D32"/>
  <c r="D31"/>
  <c r="D30"/>
  <c r="D29"/>
  <c r="E21" i="2"/>
  <c r="E26" i="17"/>
  <c r="E32" i="13"/>
  <c r="D19" i="34"/>
  <c r="D20" s="1"/>
  <c r="D21" s="1"/>
  <c r="A16"/>
  <c r="A17" s="1"/>
  <c r="A18" s="1"/>
  <c r="A22" s="1"/>
  <c r="A9"/>
  <c r="A10" s="1"/>
  <c r="A11" s="1"/>
  <c r="A12" s="1"/>
  <c r="A13" s="1"/>
  <c r="G19" i="43" l="1"/>
  <c r="E19"/>
  <c r="E19" i="41"/>
  <c r="G19"/>
  <c r="V13" i="39"/>
  <c r="V14"/>
  <c r="V13" i="40"/>
  <c r="V14"/>
  <c r="F26" i="20"/>
  <c r="E26"/>
  <c r="C26"/>
  <c r="K23"/>
  <c r="E39" i="34"/>
  <c r="J37" i="32"/>
  <c r="E25" i="35" l="1"/>
  <c r="E23"/>
  <c r="F23" s="1"/>
  <c r="E21" i="34"/>
  <c r="F21" s="1"/>
  <c r="F39"/>
  <c r="K22" i="20"/>
  <c r="F25" i="35" l="1"/>
  <c r="K40" i="34"/>
  <c r="N39"/>
  <c r="I39"/>
  <c r="N21"/>
  <c r="L21"/>
  <c r="I21"/>
  <c r="M21"/>
  <c r="J21"/>
  <c r="AT13" i="29"/>
  <c r="AS13"/>
  <c r="AT14"/>
  <c r="AR13"/>
  <c r="AH13"/>
  <c r="AE13"/>
  <c r="R13"/>
  <c r="N13"/>
  <c r="L13"/>
  <c r="C13"/>
  <c r="AR14"/>
  <c r="F25" i="23"/>
  <c r="E8" i="17"/>
  <c r="G8" s="1"/>
  <c r="E33" i="13"/>
  <c r="E28"/>
  <c r="E67"/>
  <c r="E184"/>
  <c r="E73" i="11"/>
  <c r="E13" i="7"/>
  <c r="A35" i="3"/>
  <c r="A36"/>
  <c r="A37"/>
  <c r="A4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G32" i="13"/>
  <c r="E103" i="11"/>
  <c r="G103" s="1"/>
  <c r="E68" i="10"/>
  <c r="G68" s="1"/>
  <c r="E69"/>
  <c r="E70"/>
  <c r="G70" s="1"/>
  <c r="E19"/>
  <c r="E20" i="6"/>
  <c r="G20"/>
  <c r="E13"/>
  <c r="G13" s="1"/>
  <c r="E14" i="5"/>
  <c r="G14" s="1"/>
  <c r="E19"/>
  <c r="G73" i="11"/>
  <c r="E207" i="13"/>
  <c r="G9" i="16"/>
  <c r="G13" i="7"/>
  <c r="E65" i="10"/>
  <c r="G66" s="1"/>
  <c r="F40" i="11"/>
  <c r="E40"/>
  <c r="G8" i="18"/>
  <c r="G10"/>
  <c r="G26" i="17"/>
  <c r="E25" i="23"/>
  <c r="G25" s="1"/>
  <c r="G184" i="13"/>
  <c r="E37" i="8"/>
  <c r="E15"/>
  <c r="G28" i="13"/>
  <c r="G33"/>
  <c r="G67"/>
  <c r="E92"/>
  <c r="G92" s="1"/>
  <c r="E96"/>
  <c r="G96" s="1"/>
  <c r="F101"/>
  <c r="F104"/>
  <c r="E104"/>
  <c r="G104" s="1"/>
  <c r="E141"/>
  <c r="G141" s="1"/>
  <c r="F147"/>
  <c r="F150"/>
  <c r="E150"/>
  <c r="G150" s="1"/>
  <c r="F203"/>
  <c r="F207"/>
  <c r="E15" i="14"/>
  <c r="G15" s="1"/>
  <c r="E24"/>
  <c r="E18"/>
  <c r="G18" s="1"/>
  <c r="E19"/>
  <c r="G19" s="1"/>
  <c r="E20"/>
  <c r="G20" s="1"/>
  <c r="E43" i="10"/>
  <c r="G69"/>
  <c r="E16" i="11"/>
  <c r="G16" s="1"/>
  <c r="F22" i="14"/>
  <c r="F24"/>
  <c r="F14" i="11"/>
  <c r="F16"/>
  <c r="F11"/>
  <c r="F41" i="10"/>
  <c r="F43" s="1"/>
  <c r="G19"/>
  <c r="F33" i="8"/>
  <c r="F35"/>
  <c r="F37"/>
  <c r="G37"/>
  <c r="F11"/>
  <c r="F17" i="5"/>
  <c r="F19"/>
  <c r="G19"/>
  <c r="F13" i="8"/>
  <c r="F15"/>
  <c r="G15"/>
  <c r="G207" i="13"/>
  <c r="G24" i="14"/>
  <c r="G43" i="10" l="1"/>
  <c r="G40" i="11"/>
  <c r="E26" i="35"/>
  <c r="AV14" i="29"/>
  <c r="E38" i="34"/>
  <c r="F38" s="1"/>
  <c r="E24" i="35"/>
  <c r="Z14" i="29"/>
  <c r="E37" i="34"/>
  <c r="F37" s="1"/>
  <c r="I37" s="1"/>
  <c r="G37" s="1"/>
  <c r="T37" s="1"/>
  <c r="U37" s="1"/>
  <c r="E40"/>
  <c r="F40" s="1"/>
  <c r="I40" s="1"/>
  <c r="G40" s="1"/>
  <c r="T40" s="1"/>
  <c r="U40" s="1"/>
  <c r="G39"/>
  <c r="L39"/>
  <c r="K21"/>
  <c r="G21"/>
  <c r="Z13" i="29"/>
  <c r="AX13"/>
  <c r="AX14" s="1"/>
  <c r="C32" i="20"/>
  <c r="C28"/>
  <c r="C36"/>
  <c r="C38"/>
  <c r="C34"/>
  <c r="C30"/>
  <c r="D26"/>
  <c r="H14" i="43" l="1"/>
  <c r="H14" i="41"/>
  <c r="H22" i="43"/>
  <c r="H22" i="41"/>
  <c r="AV13" i="29"/>
  <c r="F26" i="35"/>
  <c r="I38" i="34"/>
  <c r="G38" s="1"/>
  <c r="T38" s="1"/>
  <c r="U38" s="1"/>
  <c r="V14" i="29"/>
  <c r="E36" i="34"/>
  <c r="F36" s="1"/>
  <c r="F24" i="35"/>
  <c r="T21" i="34"/>
  <c r="U21" s="1"/>
  <c r="K39"/>
  <c r="V13" i="29"/>
  <c r="G26" i="20"/>
  <c r="H26" s="1"/>
  <c r="F30"/>
  <c r="E30"/>
  <c r="F36"/>
  <c r="E36"/>
  <c r="F32"/>
  <c r="E32"/>
  <c r="F34"/>
  <c r="E34"/>
  <c r="F38"/>
  <c r="E38"/>
  <c r="F28"/>
  <c r="E28"/>
  <c r="G22" i="43" l="1"/>
  <c r="E22"/>
  <c r="E14"/>
  <c r="G22" i="41"/>
  <c r="E22"/>
  <c r="E14"/>
  <c r="I36" i="34"/>
  <c r="G36" s="1"/>
  <c r="T36" s="1"/>
  <c r="U36" s="1"/>
  <c r="T39"/>
  <c r="U39" s="1"/>
  <c r="G28" i="20"/>
  <c r="I26"/>
  <c r="G38"/>
  <c r="H38" s="1"/>
  <c r="I38" s="1"/>
  <c r="G34"/>
  <c r="H34" s="1"/>
  <c r="G32"/>
  <c r="H32"/>
  <c r="G36"/>
  <c r="H36" s="1"/>
  <c r="G30"/>
  <c r="H30" s="1"/>
  <c r="I30" s="1"/>
  <c r="I32" l="1"/>
  <c r="J32" s="1"/>
  <c r="K32" s="1"/>
  <c r="J38"/>
  <c r="K38" s="1"/>
  <c r="J30"/>
  <c r="K30" s="1"/>
  <c r="H28"/>
  <c r="I28" s="1"/>
  <c r="J26"/>
  <c r="K26" s="1"/>
  <c r="D4" i="4" s="1"/>
  <c r="I36" i="20"/>
  <c r="I34"/>
  <c r="F4" i="36" l="1"/>
  <c r="F5" s="1"/>
  <c r="D7" i="4"/>
  <c r="D8" s="1"/>
  <c r="D10"/>
  <c r="D6"/>
  <c r="D9"/>
  <c r="D5"/>
  <c r="J28" i="20"/>
  <c r="K28" s="1"/>
  <c r="G4" i="18"/>
  <c r="G4" i="16"/>
  <c r="E9" s="1"/>
  <c r="H9" s="1"/>
  <c r="H11" s="1"/>
  <c r="H12" s="1"/>
  <c r="H13" s="1"/>
  <c r="H14" s="1"/>
  <c r="D27" i="3" s="1"/>
  <c r="F174" i="13"/>
  <c r="E182" s="1"/>
  <c r="G182" s="1"/>
  <c r="F4" i="8"/>
  <c r="F81" i="13"/>
  <c r="E101" s="1"/>
  <c r="G101" s="1"/>
  <c r="F196"/>
  <c r="E5" i="7"/>
  <c r="F130" i="13"/>
  <c r="E147" s="1"/>
  <c r="G147" s="1"/>
  <c r="F5" i="14"/>
  <c r="E22" s="1"/>
  <c r="G22" s="1"/>
  <c r="F4" i="13"/>
  <c r="E12" s="1"/>
  <c r="G12" s="1"/>
  <c r="F26" i="8"/>
  <c r="F6" i="23"/>
  <c r="E12" s="1"/>
  <c r="G12" s="1"/>
  <c r="F5" i="6"/>
  <c r="F4" i="17"/>
  <c r="E14" s="1"/>
  <c r="G14" s="1"/>
  <c r="F6" i="25"/>
  <c r="E6" i="5"/>
  <c r="F55" i="10"/>
  <c r="E59" s="1"/>
  <c r="G59" s="1"/>
  <c r="F132" i="13"/>
  <c r="E137" s="1"/>
  <c r="G137" s="1"/>
  <c r="F6"/>
  <c r="F34" i="10"/>
  <c r="F176" i="13"/>
  <c r="F83"/>
  <c r="E88" s="1"/>
  <c r="G88" s="1"/>
  <c r="F7" i="14"/>
  <c r="E12" s="1"/>
  <c r="G12" s="1"/>
  <c r="F58" i="13"/>
  <c r="E62" s="1"/>
  <c r="G62" s="1"/>
  <c r="F6" i="11"/>
  <c r="E10" s="1"/>
  <c r="G10" s="1"/>
  <c r="F84" i="13"/>
  <c r="E99" s="1"/>
  <c r="G99" s="1"/>
  <c r="F7"/>
  <c r="E22" s="1"/>
  <c r="G22" s="1"/>
  <c r="F93" i="11"/>
  <c r="E97" s="1"/>
  <c r="G97" s="1"/>
  <c r="H104" s="1"/>
  <c r="H105" s="1"/>
  <c r="H106" s="1"/>
  <c r="H107" s="1"/>
  <c r="H108" s="1"/>
  <c r="F133" i="13"/>
  <c r="E145" s="1"/>
  <c r="G145" s="1"/>
  <c r="F63" i="11"/>
  <c r="E67" s="1"/>
  <c r="G67" s="1"/>
  <c r="F7" i="10"/>
  <c r="E12" s="1"/>
  <c r="G12" s="1"/>
  <c r="F29" i="11"/>
  <c r="E33" s="1"/>
  <c r="G33" s="1"/>
  <c r="J36" i="20"/>
  <c r="K36"/>
  <c r="J34"/>
  <c r="K34"/>
  <c r="F8" i="13" s="1"/>
  <c r="E20" s="1"/>
  <c r="G20" s="1"/>
  <c r="F28" i="11" l="1"/>
  <c r="F5"/>
  <c r="F131" i="13"/>
  <c r="F82"/>
  <c r="F175"/>
  <c r="F57"/>
  <c r="E11" i="36"/>
  <c r="G11" s="1"/>
  <c r="E9"/>
  <c r="G9" s="1"/>
  <c r="G28" s="1"/>
  <c r="G29" s="1"/>
  <c r="G30" s="1"/>
  <c r="G31" s="1"/>
  <c r="G32" s="1"/>
  <c r="E13"/>
  <c r="G13" s="1"/>
  <c r="I32" i="2"/>
  <c r="H32"/>
  <c r="F32"/>
  <c r="H109" i="11"/>
  <c r="I108"/>
  <c r="E43" i="7"/>
  <c r="G43" s="1"/>
  <c r="E45"/>
  <c r="G45" s="1"/>
  <c r="F54" i="10"/>
  <c r="F33"/>
  <c r="E143" i="13"/>
  <c r="G143" s="1"/>
  <c r="E180"/>
  <c r="G180" s="1"/>
  <c r="G186" s="1"/>
  <c r="G187" s="1"/>
  <c r="G188" s="1"/>
  <c r="G189" s="1"/>
  <c r="D20" i="3" s="1"/>
  <c r="F6" i="14"/>
  <c r="E16" s="1"/>
  <c r="G16" s="1"/>
  <c r="E70" i="13"/>
  <c r="G70" s="1"/>
  <c r="F5"/>
  <c r="E94"/>
  <c r="G94" s="1"/>
  <c r="F92" i="11"/>
  <c r="F62"/>
  <c r="F6" i="10"/>
  <c r="F197" i="13"/>
  <c r="E205" s="1"/>
  <c r="G205" s="1"/>
  <c r="G30" i="14"/>
  <c r="G31" s="1"/>
  <c r="G32" s="1"/>
  <c r="G33" s="1"/>
  <c r="D22" i="3" s="1"/>
  <c r="G26" i="14"/>
  <c r="G27" s="1"/>
  <c r="G28" s="1"/>
  <c r="G29" s="1"/>
  <c r="D23" i="3" s="1"/>
  <c r="E36" i="13"/>
  <c r="G36" s="1"/>
  <c r="E24"/>
  <c r="G24" s="1"/>
  <c r="E18"/>
  <c r="G18" s="1"/>
  <c r="E26"/>
  <c r="G26" s="1"/>
  <c r="E12" i="25"/>
  <c r="G12" s="1"/>
  <c r="E10"/>
  <c r="G10" s="1"/>
  <c r="E18" i="6"/>
  <c r="G18" s="1"/>
  <c r="E14"/>
  <c r="G14" s="1"/>
  <c r="E9"/>
  <c r="G9" s="1"/>
  <c r="E11"/>
  <c r="G11" s="1"/>
  <c r="E16"/>
  <c r="G16" s="1"/>
  <c r="E35" i="8"/>
  <c r="G35" s="1"/>
  <c r="E31"/>
  <c r="G31" s="1"/>
  <c r="E33"/>
  <c r="G33" s="1"/>
  <c r="E9" i="7"/>
  <c r="E11"/>
  <c r="G11" s="1"/>
  <c r="E10" i="18"/>
  <c r="H10" s="1"/>
  <c r="E8"/>
  <c r="H8" s="1"/>
  <c r="E12" i="5"/>
  <c r="G12" s="1"/>
  <c r="E10"/>
  <c r="G10" s="1"/>
  <c r="E15"/>
  <c r="G15" s="1"/>
  <c r="E17"/>
  <c r="G17" s="1"/>
  <c r="E24" i="17"/>
  <c r="G24" s="1"/>
  <c r="G29" s="1"/>
  <c r="E22"/>
  <c r="G22" s="1"/>
  <c r="E21" i="23"/>
  <c r="G21" s="1"/>
  <c r="E10"/>
  <c r="G10" s="1"/>
  <c r="E15"/>
  <c r="G15" s="1"/>
  <c r="E19"/>
  <c r="G19" s="1"/>
  <c r="E23"/>
  <c r="E203" i="13"/>
  <c r="G203" s="1"/>
  <c r="E201"/>
  <c r="G201" s="1"/>
  <c r="E11" i="8"/>
  <c r="G11" s="1"/>
  <c r="E9"/>
  <c r="G9" s="1"/>
  <c r="E13"/>
  <c r="G13" s="1"/>
  <c r="G72" i="13"/>
  <c r="G73" s="1"/>
  <c r="G74" s="1"/>
  <c r="G75" s="1"/>
  <c r="D17" i="3" s="1"/>
  <c r="G106" i="13"/>
  <c r="G107" s="1"/>
  <c r="G108" s="1"/>
  <c r="G109" s="1"/>
  <c r="D18" i="3" s="1"/>
  <c r="G152" i="13"/>
  <c r="G153" s="1"/>
  <c r="G154" s="1"/>
  <c r="G155" s="1"/>
  <c r="D19" i="3" s="1"/>
  <c r="G27" i="23" l="1"/>
  <c r="G22" i="36"/>
  <c r="G23" s="1"/>
  <c r="G24" s="1"/>
  <c r="E12" i="40"/>
  <c r="F13" s="1"/>
  <c r="F14" s="1"/>
  <c r="E12" i="39"/>
  <c r="F13" s="1"/>
  <c r="F14" s="1"/>
  <c r="E12" i="35"/>
  <c r="F12" s="1"/>
  <c r="I12"/>
  <c r="J12" s="1"/>
  <c r="G12"/>
  <c r="H12" s="1"/>
  <c r="H12" i="18"/>
  <c r="H13" s="1"/>
  <c r="H14" s="1"/>
  <c r="H15" s="1"/>
  <c r="H16" s="1"/>
  <c r="D35" i="3" s="1"/>
  <c r="H40" i="2" s="1"/>
  <c r="G14" i="25"/>
  <c r="G15" s="1"/>
  <c r="G16" s="1"/>
  <c r="G17" s="1"/>
  <c r="G18" s="1"/>
  <c r="G19" s="1"/>
  <c r="D37" i="3" s="1"/>
  <c r="G25" i="36"/>
  <c r="G26" s="1"/>
  <c r="D31" i="3" s="1"/>
  <c r="F36" i="2" s="1"/>
  <c r="I40"/>
  <c r="J42"/>
  <c r="F42"/>
  <c r="F26"/>
  <c r="K26" s="1"/>
  <c r="E12" i="29"/>
  <c r="F13" s="1"/>
  <c r="F14" s="1"/>
  <c r="J32" i="2"/>
  <c r="K32"/>
  <c r="E13" i="42" s="1"/>
  <c r="F13" s="1"/>
  <c r="F24" i="2"/>
  <c r="K24" s="1"/>
  <c r="F25"/>
  <c r="K25" s="1"/>
  <c r="F23"/>
  <c r="K23" s="1"/>
  <c r="H28"/>
  <c r="I28"/>
  <c r="H43" i="7"/>
  <c r="G53" s="1"/>
  <c r="G54" s="1"/>
  <c r="G55" s="1"/>
  <c r="G56" s="1"/>
  <c r="G57" s="1"/>
  <c r="G58" s="1"/>
  <c r="G48"/>
  <c r="G49" s="1"/>
  <c r="G50" s="1"/>
  <c r="G51" s="1"/>
  <c r="G17" i="8"/>
  <c r="G18" s="1"/>
  <c r="G19" s="1"/>
  <c r="G20" s="1"/>
  <c r="D7" i="3" s="1"/>
  <c r="G211" i="13"/>
  <c r="G212" s="1"/>
  <c r="G213" s="1"/>
  <c r="G214" s="1"/>
  <c r="D21" i="3" s="1"/>
  <c r="F27" i="2" s="1"/>
  <c r="K27" s="1"/>
  <c r="E35" i="42" s="1"/>
  <c r="F35" s="1"/>
  <c r="G9" i="7"/>
  <c r="G14" s="1"/>
  <c r="G15" s="1"/>
  <c r="G16" s="1"/>
  <c r="G17" s="1"/>
  <c r="D6" i="3" s="1"/>
  <c r="H9" i="7"/>
  <c r="G19" s="1"/>
  <c r="G20" s="1"/>
  <c r="G21" s="1"/>
  <c r="G22" s="1"/>
  <c r="G23" s="1"/>
  <c r="G24" s="1"/>
  <c r="D34" i="3" s="1"/>
  <c r="E14" i="10"/>
  <c r="G14" s="1"/>
  <c r="E16"/>
  <c r="G16" s="1"/>
  <c r="E12" i="11"/>
  <c r="G12" s="1"/>
  <c r="E14"/>
  <c r="G14" s="1"/>
  <c r="E35"/>
  <c r="G35" s="1"/>
  <c r="E37"/>
  <c r="G37" s="1"/>
  <c r="E61" i="10"/>
  <c r="G61" s="1"/>
  <c r="E63"/>
  <c r="G63" s="1"/>
  <c r="G28" i="23"/>
  <c r="G29" s="1"/>
  <c r="G30" s="1"/>
  <c r="G31" s="1"/>
  <c r="G32" s="1"/>
  <c r="D36" i="3" s="1"/>
  <c r="G30" i="17"/>
  <c r="G20" i="5"/>
  <c r="G21" s="1"/>
  <c r="G22" s="1"/>
  <c r="G23" s="1"/>
  <c r="D4" i="3" s="1"/>
  <c r="F8" i="2" s="1"/>
  <c r="G39" i="8"/>
  <c r="G40" s="1"/>
  <c r="G41" s="1"/>
  <c r="G42" s="1"/>
  <c r="G22" i="6"/>
  <c r="G23" s="1"/>
  <c r="G24" s="1"/>
  <c r="G25" s="1"/>
  <c r="D5" i="3" s="1"/>
  <c r="F9" i="2" s="1"/>
  <c r="E69" i="11"/>
  <c r="G69" s="1"/>
  <c r="E71"/>
  <c r="G71" s="1"/>
  <c r="E101"/>
  <c r="G101" s="1"/>
  <c r="E99"/>
  <c r="G99" s="1"/>
  <c r="E14" i="13"/>
  <c r="G14" s="1"/>
  <c r="E30"/>
  <c r="G30" s="1"/>
  <c r="E16"/>
  <c r="G16" s="1"/>
  <c r="E41" i="10"/>
  <c r="G41" s="1"/>
  <c r="E39"/>
  <c r="G39" s="1"/>
  <c r="G31" i="17" l="1"/>
  <c r="G32" s="1"/>
  <c r="G33" s="1"/>
  <c r="G34" s="1"/>
  <c r="E31" i="34"/>
  <c r="F31" s="1"/>
  <c r="J31" s="1"/>
  <c r="E31" i="42"/>
  <c r="F31" s="1"/>
  <c r="E32" i="34"/>
  <c r="F32" s="1"/>
  <c r="L32" s="1"/>
  <c r="E32" i="42"/>
  <c r="F32" s="1"/>
  <c r="E34" i="34"/>
  <c r="F34" s="1"/>
  <c r="N34" s="1"/>
  <c r="E34" i="42"/>
  <c r="F34" s="1"/>
  <c r="E33" i="34"/>
  <c r="F33" s="1"/>
  <c r="M33" s="1"/>
  <c r="E33" i="42"/>
  <c r="F33" s="1"/>
  <c r="J40" i="2"/>
  <c r="F40"/>
  <c r="F12"/>
  <c r="F7" i="3"/>
  <c r="G7" s="1"/>
  <c r="D8"/>
  <c r="I42" i="8"/>
  <c r="M10" i="40"/>
  <c r="M10" i="39"/>
  <c r="I9" i="35"/>
  <c r="J9" s="1"/>
  <c r="G9"/>
  <c r="H9" s="1"/>
  <c r="I27"/>
  <c r="J27" s="1"/>
  <c r="BB10" i="39"/>
  <c r="BB13" s="1"/>
  <c r="BB14" s="1"/>
  <c r="BB10" i="40"/>
  <c r="BB13" s="1"/>
  <c r="BB14" s="1"/>
  <c r="BB10" i="29"/>
  <c r="BB13" s="1"/>
  <c r="BB14" s="1"/>
  <c r="E27" i="35"/>
  <c r="F27" s="1"/>
  <c r="G27"/>
  <c r="H27" s="1"/>
  <c r="L30" i="34"/>
  <c r="K32"/>
  <c r="M30"/>
  <c r="K33"/>
  <c r="T33" s="1"/>
  <c r="U33" s="1"/>
  <c r="N30"/>
  <c r="K34"/>
  <c r="I39" i="2"/>
  <c r="H39"/>
  <c r="J39"/>
  <c r="F39"/>
  <c r="H22"/>
  <c r="F13"/>
  <c r="I11"/>
  <c r="H9"/>
  <c r="I9"/>
  <c r="H8"/>
  <c r="I8"/>
  <c r="J41"/>
  <c r="F41"/>
  <c r="H10"/>
  <c r="F10"/>
  <c r="E17" i="35" s="1"/>
  <c r="I10" i="2"/>
  <c r="M10" i="29"/>
  <c r="K42" i="2"/>
  <c r="E10" i="42" s="1"/>
  <c r="F10" s="1"/>
  <c r="AB10" i="29"/>
  <c r="K40" i="2"/>
  <c r="E12" i="42" s="1"/>
  <c r="F12" s="1"/>
  <c r="I22" i="2"/>
  <c r="F22"/>
  <c r="E9" i="35"/>
  <c r="F9" s="1"/>
  <c r="E35" i="34"/>
  <c r="F35" s="1"/>
  <c r="P35" s="1"/>
  <c r="E13"/>
  <c r="F13" s="1"/>
  <c r="E19"/>
  <c r="F19" s="1"/>
  <c r="I19" s="1"/>
  <c r="J30"/>
  <c r="G30" s="1"/>
  <c r="G31"/>
  <c r="T31" s="1"/>
  <c r="U31" s="1"/>
  <c r="K30"/>
  <c r="T32"/>
  <c r="U32" s="1"/>
  <c r="E10"/>
  <c r="F10" s="1"/>
  <c r="G71" i="10"/>
  <c r="G72" s="1"/>
  <c r="G73" s="1"/>
  <c r="G74" s="1"/>
  <c r="G75" s="1"/>
  <c r="D12" i="3" s="1"/>
  <c r="F17" i="2" s="1"/>
  <c r="G41" i="11"/>
  <c r="G42" s="1"/>
  <c r="G43" s="1"/>
  <c r="G44" s="1"/>
  <c r="D14" i="3" s="1"/>
  <c r="G17" i="11"/>
  <c r="G18" s="1"/>
  <c r="G19" s="1"/>
  <c r="G20" s="1"/>
  <c r="D13" i="3" s="1"/>
  <c r="F20" i="2" s="1"/>
  <c r="G22" i="10"/>
  <c r="G23" s="1"/>
  <c r="G24" s="1"/>
  <c r="G25" s="1"/>
  <c r="G26" s="1"/>
  <c r="D10" i="3" s="1"/>
  <c r="G74" i="11"/>
  <c r="G75" s="1"/>
  <c r="G76" s="1"/>
  <c r="G77" s="1"/>
  <c r="D15" i="3" s="1"/>
  <c r="AB14" i="29"/>
  <c r="G44" i="10"/>
  <c r="G45" s="1"/>
  <c r="G46" s="1"/>
  <c r="G47" s="1"/>
  <c r="G48" s="1"/>
  <c r="D11" i="3" s="1"/>
  <c r="F16" i="2" s="1"/>
  <c r="K16" s="1"/>
  <c r="E24" i="42" s="1"/>
  <c r="F24" s="1"/>
  <c r="G38" i="13"/>
  <c r="G39" s="1"/>
  <c r="G40" s="1"/>
  <c r="G41" s="1"/>
  <c r="G42" s="1"/>
  <c r="D24" i="3" s="1"/>
  <c r="G104" i="11"/>
  <c r="G105" s="1"/>
  <c r="G106" s="1"/>
  <c r="G107" s="1"/>
  <c r="D16" i="3" s="1"/>
  <c r="D33" l="1"/>
  <c r="F38" i="2" s="1"/>
  <c r="K20"/>
  <c r="E27" i="42"/>
  <c r="F27" s="1"/>
  <c r="K17" i="2"/>
  <c r="E25" i="42"/>
  <c r="F25" s="1"/>
  <c r="K13" i="2"/>
  <c r="E20" i="42"/>
  <c r="F20" s="1"/>
  <c r="K12" i="2"/>
  <c r="E19" i="42"/>
  <c r="F19" s="1"/>
  <c r="I14" i="43"/>
  <c r="I14" i="41"/>
  <c r="H20" i="43"/>
  <c r="H20" i="41"/>
  <c r="F11" i="2"/>
  <c r="E13" i="39" s="1"/>
  <c r="E14" s="1"/>
  <c r="F15" i="2"/>
  <c r="H11"/>
  <c r="AF10" i="40"/>
  <c r="AF10" i="39"/>
  <c r="I22" i="35"/>
  <c r="J22" s="1"/>
  <c r="G22"/>
  <c r="H22" s="1"/>
  <c r="Q10" i="40"/>
  <c r="Q10" i="39"/>
  <c r="E16" i="35"/>
  <c r="F16" s="1"/>
  <c r="I16"/>
  <c r="J16" s="1"/>
  <c r="G16"/>
  <c r="H16" s="1"/>
  <c r="AB10" i="40"/>
  <c r="AB10" i="39"/>
  <c r="E11" i="35"/>
  <c r="F11" s="1"/>
  <c r="I11"/>
  <c r="J11" s="1"/>
  <c r="G11"/>
  <c r="H11" s="1"/>
  <c r="M13" i="40"/>
  <c r="M14"/>
  <c r="E13"/>
  <c r="E14" s="1"/>
  <c r="I18" i="35"/>
  <c r="J18" s="1"/>
  <c r="G18"/>
  <c r="H18" s="1"/>
  <c r="U10" i="40"/>
  <c r="U10" i="39"/>
  <c r="I17" i="35"/>
  <c r="J17" s="1"/>
  <c r="G17"/>
  <c r="H17" s="1"/>
  <c r="O10" i="40"/>
  <c r="O10" i="39"/>
  <c r="I8" i="35"/>
  <c r="J8" s="1"/>
  <c r="G8"/>
  <c r="H8" s="1"/>
  <c r="S10" i="40"/>
  <c r="S10" i="39"/>
  <c r="E15" i="35"/>
  <c r="I15"/>
  <c r="J15" s="1"/>
  <c r="G15"/>
  <c r="H15" s="1"/>
  <c r="X10" i="40"/>
  <c r="X10" i="39"/>
  <c r="I10" i="35"/>
  <c r="J10" s="1"/>
  <c r="G10"/>
  <c r="H10" s="1"/>
  <c r="M13" i="39"/>
  <c r="M14"/>
  <c r="I31" i="2"/>
  <c r="H31"/>
  <c r="F31"/>
  <c r="E21" i="35" s="1"/>
  <c r="H15" i="2"/>
  <c r="I15"/>
  <c r="F18"/>
  <c r="K18" s="1"/>
  <c r="E23" i="42" s="1"/>
  <c r="F23" s="1"/>
  <c r="F21" i="2"/>
  <c r="F19"/>
  <c r="I19"/>
  <c r="H19"/>
  <c r="M13" i="29"/>
  <c r="M14"/>
  <c r="K10" i="2"/>
  <c r="E17" i="42" s="1"/>
  <c r="F17" s="1"/>
  <c r="U10" i="29"/>
  <c r="O10"/>
  <c r="K41" i="2"/>
  <c r="E9" i="42" s="1"/>
  <c r="F9" s="1"/>
  <c r="K8" i="2"/>
  <c r="S10" i="29"/>
  <c r="E13"/>
  <c r="K11" i="2"/>
  <c r="E18" i="42" s="1"/>
  <c r="F18" s="1"/>
  <c r="AF10" i="29"/>
  <c r="AF14" s="1"/>
  <c r="K22" i="2"/>
  <c r="E12" i="34"/>
  <c r="F12" s="1"/>
  <c r="Q10" i="29"/>
  <c r="K9" i="2"/>
  <c r="E16" i="42" s="1"/>
  <c r="F16" s="1"/>
  <c r="K39" i="2"/>
  <c r="E11" i="42" s="1"/>
  <c r="F11" s="1"/>
  <c r="X10" i="29"/>
  <c r="E24" i="34"/>
  <c r="F24" s="1"/>
  <c r="E28"/>
  <c r="F28" s="1"/>
  <c r="E10" i="35"/>
  <c r="F10" s="1"/>
  <c r="E8"/>
  <c r="F8" s="1"/>
  <c r="E23" i="34"/>
  <c r="F23" s="1"/>
  <c r="Q10"/>
  <c r="S10"/>
  <c r="R10"/>
  <c r="G19"/>
  <c r="P19"/>
  <c r="F17" i="35"/>
  <c r="P30" i="34"/>
  <c r="O35"/>
  <c r="T35" s="1"/>
  <c r="U35" s="1"/>
  <c r="E18" i="35"/>
  <c r="E25" i="34"/>
  <c r="F25" s="1"/>
  <c r="H25" s="1"/>
  <c r="Q13"/>
  <c r="S13"/>
  <c r="R13"/>
  <c r="E22" i="35"/>
  <c r="F22" s="1"/>
  <c r="E20" i="34"/>
  <c r="F20" s="1"/>
  <c r="E9"/>
  <c r="F9" s="1"/>
  <c r="E11"/>
  <c r="F11" s="1"/>
  <c r="E17"/>
  <c r="F17" s="1"/>
  <c r="AF13" i="29"/>
  <c r="X14"/>
  <c r="E18" i="34"/>
  <c r="F18" s="1"/>
  <c r="AB13" i="29"/>
  <c r="O14"/>
  <c r="E16" i="34"/>
  <c r="K10" i="40" l="1"/>
  <c r="E7" i="35"/>
  <c r="F7" s="1"/>
  <c r="G7"/>
  <c r="H7" s="1"/>
  <c r="K10" i="29"/>
  <c r="K10" i="39"/>
  <c r="I7" i="35"/>
  <c r="J7" s="1"/>
  <c r="K38" i="2"/>
  <c r="E8" i="42" s="1"/>
  <c r="F8" s="1"/>
  <c r="I13" i="43"/>
  <c r="F13" s="1"/>
  <c r="I13" i="41"/>
  <c r="F13" s="1"/>
  <c r="E15" i="34"/>
  <c r="F15" s="1"/>
  <c r="E15" i="42"/>
  <c r="F15" s="1"/>
  <c r="K21" i="2"/>
  <c r="E28" i="42"/>
  <c r="F28" s="1"/>
  <c r="G20" i="43"/>
  <c r="E20"/>
  <c r="F14"/>
  <c r="G14"/>
  <c r="E30" i="34"/>
  <c r="F30" s="1"/>
  <c r="E30" i="42"/>
  <c r="F30" s="1"/>
  <c r="G20" i="41"/>
  <c r="E20"/>
  <c r="F14"/>
  <c r="G14"/>
  <c r="J38" i="2"/>
  <c r="H38"/>
  <c r="I38"/>
  <c r="H13" i="35"/>
  <c r="J13"/>
  <c r="AL10" i="40"/>
  <c r="AL10" i="39"/>
  <c r="I20" i="35"/>
  <c r="J20" s="1"/>
  <c r="G20"/>
  <c r="H20" s="1"/>
  <c r="AJ10" i="40"/>
  <c r="AJ10" i="39"/>
  <c r="G19" i="35"/>
  <c r="H19" s="1"/>
  <c r="I19"/>
  <c r="J19" s="1"/>
  <c r="K14" i="40"/>
  <c r="K13"/>
  <c r="X13"/>
  <c r="X14"/>
  <c r="S13" i="39"/>
  <c r="S14"/>
  <c r="O13"/>
  <c r="O14"/>
  <c r="U14"/>
  <c r="U13"/>
  <c r="AB14"/>
  <c r="AB13"/>
  <c r="Q14" i="40"/>
  <c r="Q13"/>
  <c r="AF13"/>
  <c r="AF14"/>
  <c r="K14" i="39"/>
  <c r="K13"/>
  <c r="X14"/>
  <c r="X13"/>
  <c r="S13" i="40"/>
  <c r="S14"/>
  <c r="O13"/>
  <c r="O14"/>
  <c r="U14"/>
  <c r="U13"/>
  <c r="AB14"/>
  <c r="AB13"/>
  <c r="Q14" i="39"/>
  <c r="Q13"/>
  <c r="AF13"/>
  <c r="AF14"/>
  <c r="AD10" i="40"/>
  <c r="AD10" i="39"/>
  <c r="I21" i="35"/>
  <c r="J21" s="1"/>
  <c r="G21"/>
  <c r="H21" s="1"/>
  <c r="H28" s="1"/>
  <c r="G30" s="1"/>
  <c r="F13"/>
  <c r="K19" i="2"/>
  <c r="E26" i="42" s="1"/>
  <c r="F26" s="1"/>
  <c r="AL10" i="29"/>
  <c r="AL13" s="1"/>
  <c r="K15" i="2"/>
  <c r="AJ10" i="29"/>
  <c r="AJ14" s="1"/>
  <c r="AD10"/>
  <c r="K31" i="2"/>
  <c r="E29" i="42" s="1"/>
  <c r="F29" s="1"/>
  <c r="E8" i="34"/>
  <c r="F8" s="1"/>
  <c r="R12"/>
  <c r="S12"/>
  <c r="Q12"/>
  <c r="O13"/>
  <c r="T13" s="1"/>
  <c r="U13" s="1"/>
  <c r="Q11"/>
  <c r="S11"/>
  <c r="R11"/>
  <c r="N17"/>
  <c r="L17"/>
  <c r="I17"/>
  <c r="P17"/>
  <c r="O17" s="1"/>
  <c r="M17"/>
  <c r="J17"/>
  <c r="H17"/>
  <c r="O19"/>
  <c r="T19" s="1"/>
  <c r="U19" s="1"/>
  <c r="I23"/>
  <c r="P23"/>
  <c r="F21" i="35"/>
  <c r="P28" i="34"/>
  <c r="I28"/>
  <c r="S9"/>
  <c r="R9"/>
  <c r="Q9"/>
  <c r="N20"/>
  <c r="N18" s="1"/>
  <c r="H20"/>
  <c r="P20"/>
  <c r="O20" s="1"/>
  <c r="J20"/>
  <c r="J18" s="1"/>
  <c r="L20"/>
  <c r="I20"/>
  <c r="I18" s="1"/>
  <c r="M20"/>
  <c r="M18" s="1"/>
  <c r="F15" i="35"/>
  <c r="H22" i="34"/>
  <c r="G25"/>
  <c r="T25" s="1"/>
  <c r="U25" s="1"/>
  <c r="F18" i="35"/>
  <c r="E19"/>
  <c r="J24" i="34"/>
  <c r="N24"/>
  <c r="N22" s="1"/>
  <c r="M24"/>
  <c r="M22" s="1"/>
  <c r="L24"/>
  <c r="P15"/>
  <c r="O15" s="1"/>
  <c r="J15"/>
  <c r="M15"/>
  <c r="I15"/>
  <c r="N15"/>
  <c r="H15"/>
  <c r="L15"/>
  <c r="O10"/>
  <c r="T10" s="1"/>
  <c r="U10" s="1"/>
  <c r="F16"/>
  <c r="E14" i="29"/>
  <c r="X13"/>
  <c r="O13"/>
  <c r="E29" i="34"/>
  <c r="H21" i="43" l="1"/>
  <c r="H21" i="41"/>
  <c r="H11" i="43"/>
  <c r="H11" i="41"/>
  <c r="E22" i="34"/>
  <c r="E22" i="42"/>
  <c r="F22" s="1"/>
  <c r="F41" s="1"/>
  <c r="K13" i="29"/>
  <c r="K14"/>
  <c r="H14" i="40"/>
  <c r="G15" i="34"/>
  <c r="O12"/>
  <c r="T12" s="1"/>
  <c r="U12" s="1"/>
  <c r="J28" i="35"/>
  <c r="I30" s="1"/>
  <c r="AJ14" i="40"/>
  <c r="AJ13"/>
  <c r="AL13"/>
  <c r="AL14"/>
  <c r="H14" i="39"/>
  <c r="AJ14"/>
  <c r="AJ13"/>
  <c r="AL13"/>
  <c r="AL14"/>
  <c r="AD13" i="40"/>
  <c r="AD14"/>
  <c r="AD13" i="39"/>
  <c r="AD14"/>
  <c r="S8" i="34"/>
  <c r="S41" s="1"/>
  <c r="Q8"/>
  <c r="R8"/>
  <c r="R41" s="1"/>
  <c r="K15"/>
  <c r="S14" i="29"/>
  <c r="S13"/>
  <c r="U13"/>
  <c r="U14"/>
  <c r="Q14"/>
  <c r="Q13"/>
  <c r="K17" i="34"/>
  <c r="G24"/>
  <c r="J22"/>
  <c r="K24"/>
  <c r="T24" s="1"/>
  <c r="U24" s="1"/>
  <c r="L22"/>
  <c r="K22" s="1"/>
  <c r="F19" i="35"/>
  <c r="H18" i="34"/>
  <c r="G18" s="1"/>
  <c r="G20"/>
  <c r="G28"/>
  <c r="I26"/>
  <c r="P22"/>
  <c r="O22" s="1"/>
  <c r="O23"/>
  <c r="G17"/>
  <c r="T17" s="1"/>
  <c r="U17" s="1"/>
  <c r="L18"/>
  <c r="K18" s="1"/>
  <c r="K20"/>
  <c r="T20" s="1"/>
  <c r="U20" s="1"/>
  <c r="O28"/>
  <c r="P26"/>
  <c r="O26" s="1"/>
  <c r="I22"/>
  <c r="G23"/>
  <c r="P18"/>
  <c r="O18" s="1"/>
  <c r="E20" i="35"/>
  <c r="E27" i="34"/>
  <c r="F27" s="1"/>
  <c r="T15"/>
  <c r="U15" s="1"/>
  <c r="Q41"/>
  <c r="P16"/>
  <c r="N16"/>
  <c r="M16"/>
  <c r="L16"/>
  <c r="J16"/>
  <c r="I16"/>
  <c r="H16"/>
  <c r="H41" s="1"/>
  <c r="O9"/>
  <c r="T9" s="1"/>
  <c r="U9" s="1"/>
  <c r="O11"/>
  <c r="T11" s="1"/>
  <c r="U11" s="1"/>
  <c r="F22"/>
  <c r="F29"/>
  <c r="AD14" i="29"/>
  <c r="H12" i="43" l="1"/>
  <c r="E12" s="1"/>
  <c r="H12" i="41"/>
  <c r="I12" i="43"/>
  <c r="I12" i="41"/>
  <c r="H14" i="29"/>
  <c r="E11" i="41"/>
  <c r="G11"/>
  <c r="E21" i="43"/>
  <c r="G21"/>
  <c r="H16"/>
  <c r="H16" i="41"/>
  <c r="H13" i="43"/>
  <c r="H13" i="41"/>
  <c r="G11" i="43"/>
  <c r="E11"/>
  <c r="G21" i="41"/>
  <c r="E21"/>
  <c r="G22" i="34"/>
  <c r="O8"/>
  <c r="T8" s="1"/>
  <c r="U8" s="1"/>
  <c r="I14" i="39"/>
  <c r="A16" s="1"/>
  <c r="I14" i="40"/>
  <c r="A16" s="1"/>
  <c r="I41" i="34"/>
  <c r="T18"/>
  <c r="U18" s="1"/>
  <c r="T22"/>
  <c r="U22" s="1"/>
  <c r="T28"/>
  <c r="U28" s="1"/>
  <c r="AL14" i="29"/>
  <c r="T23" i="34"/>
  <c r="U23" s="1"/>
  <c r="F20" i="35"/>
  <c r="F28" s="1"/>
  <c r="M27" i="34"/>
  <c r="M26" s="1"/>
  <c r="M41" s="1"/>
  <c r="N27"/>
  <c r="N26" s="1"/>
  <c r="N41" s="1"/>
  <c r="J27"/>
  <c r="L27"/>
  <c r="E26"/>
  <c r="F26" s="1"/>
  <c r="F41" s="1"/>
  <c r="J29"/>
  <c r="O16"/>
  <c r="P41"/>
  <c r="K16"/>
  <c r="G16"/>
  <c r="AJ13" i="29"/>
  <c r="AD13"/>
  <c r="G13" i="43" l="1"/>
  <c r="E13"/>
  <c r="G16"/>
  <c r="E16"/>
  <c r="G12"/>
  <c r="F12"/>
  <c r="I10"/>
  <c r="I145" s="1"/>
  <c r="I14" i="29"/>
  <c r="H18" i="43"/>
  <c r="H18" i="41"/>
  <c r="E13"/>
  <c r="G13"/>
  <c r="G16"/>
  <c r="E16"/>
  <c r="I10"/>
  <c r="I145" s="1"/>
  <c r="F12"/>
  <c r="G12"/>
  <c r="E12"/>
  <c r="H10"/>
  <c r="E30" i="35"/>
  <c r="J26" i="34"/>
  <c r="G26" s="1"/>
  <c r="G27"/>
  <c r="K27"/>
  <c r="L26"/>
  <c r="G29"/>
  <c r="T16"/>
  <c r="U16" s="1"/>
  <c r="A16" i="29"/>
  <c r="O34" i="34"/>
  <c r="G10" i="41" l="1"/>
  <c r="H145"/>
  <c r="I149"/>
  <c r="I13" i="44"/>
  <c r="G18" i="43"/>
  <c r="E18"/>
  <c r="H10"/>
  <c r="I165" i="44"/>
  <c r="I149" i="43"/>
  <c r="G18" i="41"/>
  <c r="E18"/>
  <c r="T27" i="34"/>
  <c r="U27" s="1"/>
  <c r="J41"/>
  <c r="K26"/>
  <c r="K41" s="1"/>
  <c r="L41"/>
  <c r="T34"/>
  <c r="U34" s="1"/>
  <c r="O30"/>
  <c r="T29"/>
  <c r="U29" s="1"/>
  <c r="G41"/>
  <c r="G10" i="43" l="1"/>
  <c r="H145"/>
  <c r="T26" i="34"/>
  <c r="U26" s="1"/>
  <c r="AA165" i="44"/>
  <c r="AA167" s="1"/>
  <c r="M165"/>
  <c r="M167" s="1"/>
  <c r="Y165"/>
  <c r="Y167" s="1"/>
  <c r="L165"/>
  <c r="L167" s="1"/>
  <c r="Z165"/>
  <c r="Z167" s="1"/>
  <c r="I167"/>
  <c r="K165"/>
  <c r="O165"/>
  <c r="Z13"/>
  <c r="Z15" s="1"/>
  <c r="Y13"/>
  <c r="Y15" s="1"/>
  <c r="K13"/>
  <c r="I15"/>
  <c r="L13"/>
  <c r="L15" s="1"/>
  <c r="M13"/>
  <c r="M15" s="1"/>
  <c r="O13"/>
  <c r="AA13"/>
  <c r="AA15" s="1"/>
  <c r="H13"/>
  <c r="H149" i="41"/>
  <c r="G145"/>
  <c r="G149" s="1"/>
  <c r="T30" i="34"/>
  <c r="U30" s="1"/>
  <c r="O41"/>
  <c r="O15" i="44" l="1"/>
  <c r="K15"/>
  <c r="J13"/>
  <c r="J15" s="1"/>
  <c r="O167"/>
  <c r="V13"/>
  <c r="V15" s="1"/>
  <c r="H15"/>
  <c r="X13"/>
  <c r="T13"/>
  <c r="P13"/>
  <c r="P15" s="1"/>
  <c r="U13"/>
  <c r="U15" s="1"/>
  <c r="G13"/>
  <c r="G15" s="1"/>
  <c r="R13"/>
  <c r="R15" s="1"/>
  <c r="Q13"/>
  <c r="Q15" s="1"/>
  <c r="J165"/>
  <c r="J167" s="1"/>
  <c r="K167"/>
  <c r="H149" i="43"/>
  <c r="H165" i="44"/>
  <c r="G145" i="43"/>
  <c r="G149" s="1"/>
  <c r="H167" i="44" l="1"/>
  <c r="G165"/>
  <c r="G167" s="1"/>
  <c r="Q165"/>
  <c r="Q167" s="1"/>
  <c r="R165"/>
  <c r="R167" s="1"/>
  <c r="U165"/>
  <c r="U167" s="1"/>
  <c r="P165"/>
  <c r="T165"/>
  <c r="X165"/>
  <c r="V165"/>
  <c r="V167" s="1"/>
  <c r="X15"/>
  <c r="W13"/>
  <c r="W15" s="1"/>
  <c r="T15"/>
  <c r="S13"/>
  <c r="S15" s="1"/>
  <c r="N13"/>
  <c r="N15" s="1"/>
  <c r="S165" l="1"/>
  <c r="S167" s="1"/>
  <c r="T167"/>
  <c r="X167"/>
  <c r="W165"/>
  <c r="W167" s="1"/>
  <c r="P167"/>
  <c r="N165"/>
  <c r="N167" s="1"/>
</calcChain>
</file>

<file path=xl/comments1.xml><?xml version="1.0" encoding="utf-8"?>
<comments xmlns="http://schemas.openxmlformats.org/spreadsheetml/2006/main">
  <authors>
    <author>Автор</author>
  </authors>
  <commentList>
    <comment ref="H12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коэф. На кол-во дней</t>
        </r>
      </text>
    </comment>
    <comment ref="I12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коэф. На кол-во дней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H12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коэф. На кол-во дней</t>
        </r>
      </text>
    </comment>
    <comment ref="I12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коэф. На кол-во дней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H12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коэф. На кол-во дней</t>
        </r>
      </text>
    </comment>
    <comment ref="I12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коэф. На кол-во дней</t>
        </r>
      </text>
    </comment>
  </commentList>
</comments>
</file>

<file path=xl/comments4.xml><?xml version="1.0" encoding="utf-8"?>
<comments xmlns="http://schemas.openxmlformats.org/spreadsheetml/2006/main">
  <authors>
    <author>Автор</author>
  </authors>
  <commentList>
    <comment ref="G18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проверить</t>
        </r>
      </text>
    </comment>
    <comment ref="G52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проверить</t>
        </r>
      </text>
    </comment>
  </commentList>
</comments>
</file>

<file path=xl/comments5.xml><?xml version="1.0" encoding="utf-8"?>
<comments xmlns="http://schemas.openxmlformats.org/spreadsheetml/2006/main">
  <authors>
    <author>Автор</author>
  </authors>
  <commentList>
    <comment ref="G109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не соответствует утвержденной расценке. Считать правильной</t>
        </r>
      </text>
    </comment>
  </commentList>
</comments>
</file>

<file path=xl/comments6.xml><?xml version="1.0" encoding="utf-8"?>
<comments xmlns="http://schemas.openxmlformats.org/spreadsheetml/2006/main">
  <authors>
    <author>Автор</author>
  </authors>
  <commentList>
    <comment ref="F8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проверить</t>
        </r>
      </text>
    </comment>
  </commentList>
</comments>
</file>

<file path=xl/sharedStrings.xml><?xml version="1.0" encoding="utf-8"?>
<sst xmlns="http://schemas.openxmlformats.org/spreadsheetml/2006/main" count="3206" uniqueCount="1091">
  <si>
    <t>1 разряд</t>
  </si>
  <si>
    <t>2 разряд</t>
  </si>
  <si>
    <t>3 разряд</t>
  </si>
  <si>
    <t>4разряд</t>
  </si>
  <si>
    <t>5 разряд</t>
  </si>
  <si>
    <t>6 разряд</t>
  </si>
  <si>
    <t>7 разряд</t>
  </si>
  <si>
    <t>ПМ-130(полив)</t>
  </si>
  <si>
    <t>м/ч</t>
  </si>
  <si>
    <t>самосвал зима</t>
  </si>
  <si>
    <t>самосвал лето-зима ЗиЛ</t>
  </si>
  <si>
    <t>трактор КО-707</t>
  </si>
  <si>
    <t>грейдер ДЗ-122</t>
  </si>
  <si>
    <t>моторная косилка</t>
  </si>
  <si>
    <t>удобрения:</t>
  </si>
  <si>
    <t>Суперфосфат</t>
  </si>
  <si>
    <t>кг.</t>
  </si>
  <si>
    <t>Сульфат калия</t>
  </si>
  <si>
    <t>Аммиачная селитра</t>
  </si>
  <si>
    <t>Азот</t>
  </si>
  <si>
    <t>метлы</t>
  </si>
  <si>
    <t>шт</t>
  </si>
  <si>
    <t>тн</t>
  </si>
  <si>
    <t>стоимость  рассады:</t>
  </si>
  <si>
    <t>однолетников</t>
  </si>
  <si>
    <t>шт.</t>
  </si>
  <si>
    <t>№ п/п</t>
  </si>
  <si>
    <t>Наименование элементов благоустройства/характеристика объекта</t>
  </si>
  <si>
    <t>Состав работ</t>
  </si>
  <si>
    <t>№№ расценок, кратность применения</t>
  </si>
  <si>
    <t>Стоимость содержания за период, руб.</t>
  </si>
  <si>
    <t>100м2</t>
  </si>
  <si>
    <t>Урны на объектах в центре города, района</t>
  </si>
  <si>
    <t xml:space="preserve">1 шт. </t>
  </si>
  <si>
    <t>1м2</t>
  </si>
  <si>
    <t>Летний период</t>
  </si>
  <si>
    <t>Дороги и площадки с асфальтовым покрытием на прочих объектах (накопляемость мусора малая)</t>
  </si>
  <si>
    <t>Подметание с очисткой от мусора не менее 20 раз в месяц, удаление сорной растительности у бортового камня</t>
  </si>
  <si>
    <t>Ежедневное подметание с очисткой от мусора, удаление сорной растительности у бортового камня и с покрытия</t>
  </si>
  <si>
    <t>Дороги и площадки с плиточным покрытием (накопляемость мусора малая)</t>
  </si>
  <si>
    <t>Ежедневная очистка урн от мусора с вывозкой мусора</t>
  </si>
  <si>
    <t>Газоны на объектах со средней плотностью насаждений</t>
  </si>
  <si>
    <t xml:space="preserve">Кустарники одиночные и в группах </t>
  </si>
  <si>
    <t>Подкормка удобрениями, санитарная обрезка, прополка лунок</t>
  </si>
  <si>
    <t>Подкормка удобрениями, санитарная обрезка, стрижка кроны, прополка лунок</t>
  </si>
  <si>
    <t>100 м</t>
  </si>
  <si>
    <t xml:space="preserve">Содержание цветников из однолетних растений </t>
  </si>
  <si>
    <t>Рыхление, прополка, полив, внесение удобрений, удаление отцветших цветов</t>
  </si>
  <si>
    <t>Содержание цветников из многолетних растений</t>
  </si>
  <si>
    <t>Рыхление, прополка, полив, внесение удобрений</t>
  </si>
  <si>
    <t>Покраска урн</t>
  </si>
  <si>
    <t>Покраска скамей</t>
  </si>
  <si>
    <t>1шт</t>
  </si>
  <si>
    <t>Устройство цветников из однолетних растений.</t>
  </si>
  <si>
    <t>Обработка почвы, полив, посадка, уборка мусоа</t>
  </si>
  <si>
    <t>№ расценки</t>
  </si>
  <si>
    <t>Наименование расценки</t>
  </si>
  <si>
    <t>Ед. измер.</t>
  </si>
  <si>
    <t>Единичн. расценка с НДС, руб.</t>
  </si>
  <si>
    <t>100м2/месяц</t>
  </si>
  <si>
    <t>Содержание дорог и площадок с асфальтовым покрытием на прочих объектах (накопляемость мусора малая)</t>
  </si>
  <si>
    <t xml:space="preserve">Содержание дорог и площадок с плиточным покрытием </t>
  </si>
  <si>
    <t>Очистка урн от мусора на объектах в центре города, района</t>
  </si>
  <si>
    <t>1 шт./месяц</t>
  </si>
  <si>
    <t>100м2/1 раз</t>
  </si>
  <si>
    <t xml:space="preserve">Комплексная очистка газонов от листвы и мусора в апреле и октябре (засоренность средняя). </t>
  </si>
  <si>
    <t>Очистка газонов от мусора с апреля по октябрь (средняя накопляемость)</t>
  </si>
  <si>
    <t>Кошение обыкновенного газона моторной косилкой.</t>
  </si>
  <si>
    <t>Содержание  кустарников одиночных и в группах в мае и октябре</t>
  </si>
  <si>
    <t>1 куст/месяц</t>
  </si>
  <si>
    <t>Уход за кустарниками одиночными и  в группах в июне, июле, августе, сентябре.</t>
  </si>
  <si>
    <t>Уход  за кустарниками  в группах в апреле.</t>
  </si>
  <si>
    <t>Уход за кустарниками в живых изгородях  колючих стригущихся в июне,июле,августе и сентябре.</t>
  </si>
  <si>
    <t>100 м/пог./месяц</t>
  </si>
  <si>
    <t>Уход за кустарником в живых изгородях колючих в мае и октябре.</t>
  </si>
  <si>
    <t>Уход за цветниками из однолетних растений в июне.</t>
  </si>
  <si>
    <t>100 м2/месяц</t>
  </si>
  <si>
    <t>Уход за цветниками из однолетних растений в июле</t>
  </si>
  <si>
    <t>Уход за цветниками из однолетних растений в августе.</t>
  </si>
  <si>
    <t>Уход за цветниками из однолетних растений в сентябре.</t>
  </si>
  <si>
    <t>Уход за цветниками из однолетних растений в октябре</t>
  </si>
  <si>
    <t>Уход за цветниками из многолетних растений в июне, июле, сентябре</t>
  </si>
  <si>
    <t>Уход за цветниками из многолетних растений в мае, августе</t>
  </si>
  <si>
    <t>1м2/месяц</t>
  </si>
  <si>
    <t>1 шт/мес</t>
  </si>
  <si>
    <t>(накопляемость мусора малая)</t>
  </si>
  <si>
    <t>Обоснование: ТНВ-87 "Озеленение"</t>
  </si>
  <si>
    <t>1разряд</t>
  </si>
  <si>
    <t>руб.</t>
  </si>
  <si>
    <t>Москва, Экономика. 1987г.</t>
  </si>
  <si>
    <t>100 м2</t>
  </si>
  <si>
    <t>за месяц</t>
  </si>
  <si>
    <t>№п/п.</t>
  </si>
  <si>
    <t xml:space="preserve"> Виды работ</t>
  </si>
  <si>
    <t>Обоснование</t>
  </si>
  <si>
    <t>Ед.измер</t>
  </si>
  <si>
    <t>Расценка</t>
  </si>
  <si>
    <t>Объем</t>
  </si>
  <si>
    <t>Стоимость, руб.</t>
  </si>
  <si>
    <t>разряд</t>
  </si>
  <si>
    <t>Н.вр.</t>
  </si>
  <si>
    <t>1-2-8   п.7а</t>
  </si>
  <si>
    <t xml:space="preserve">100 кв.м     </t>
  </si>
  <si>
    <t>Перенос мусора на расстояние свыше 50м.</t>
  </si>
  <si>
    <t>1-6-2      п.2</t>
  </si>
  <si>
    <t>Тн.         1</t>
  </si>
  <si>
    <t>100м2=1,5 кг</t>
  </si>
  <si>
    <t>Расход метел на 100м2</t>
  </si>
  <si>
    <t xml:space="preserve">Удаление сорной растительности у бортового камня </t>
  </si>
  <si>
    <t>1-2-8     п.12</t>
  </si>
  <si>
    <t>100кв.м.  1</t>
  </si>
  <si>
    <t>Погрузка мусора на а/машину    Расчет:  100м2=1,5 кг</t>
  </si>
  <si>
    <t xml:space="preserve">1.6.1 п.2  </t>
  </si>
  <si>
    <t>Тн</t>
  </si>
  <si>
    <t xml:space="preserve">Вывоз мусора на свалку расстояние 25 км.   5тн=4м/час. </t>
  </si>
  <si>
    <t>м/час</t>
  </si>
  <si>
    <t>Всего за 1 месяц 100кв.м.</t>
  </si>
  <si>
    <t xml:space="preserve">С накладными расходами </t>
  </si>
  <si>
    <t xml:space="preserve">С плановыми начислениями </t>
  </si>
  <si>
    <t>С НДС</t>
  </si>
  <si>
    <t>КАЛЬКУЛЯЦИЯ № 16</t>
  </si>
  <si>
    <t>Стоимость,  руб.</t>
  </si>
  <si>
    <t>ТНВ 1.2.8   п.7а</t>
  </si>
  <si>
    <t>ТНВ 1.6.2      п.2</t>
  </si>
  <si>
    <t>100 м2*0,1 кг =10 кг</t>
  </si>
  <si>
    <t>Удаление сорной растительности у бордюров</t>
  </si>
  <si>
    <t xml:space="preserve">Очистка тротуарной плитки от травы 1раз в месяц </t>
  </si>
  <si>
    <t>1.2.8 п.7г,   прим.</t>
  </si>
  <si>
    <t>100 кв м</t>
  </si>
  <si>
    <t xml:space="preserve">ТНВ 1.6.1, п.2  </t>
  </si>
  <si>
    <t>м/час.</t>
  </si>
  <si>
    <t>Итого за 1 месяц 100кв.м.</t>
  </si>
  <si>
    <t>Всего с НДС</t>
  </si>
  <si>
    <t>1 урна за месяц</t>
  </si>
  <si>
    <t>Очистка урн от мусора</t>
  </si>
  <si>
    <t>1-2-8   п.5а</t>
  </si>
  <si>
    <t>100 урн</t>
  </si>
  <si>
    <t>30 раз*1шт.=30 шт.</t>
  </si>
  <si>
    <t>Погрузка мусора на а/машину    Объем:  30*0,002тн=0,06 тн кг</t>
  </si>
  <si>
    <t>Вывоз мусора на свалку расстояние 25 км.   5тн=4м/час.  0,06тн=0,048 м/час.</t>
  </si>
  <si>
    <t>Всего за 1 месяц летнего периода</t>
  </si>
  <si>
    <t xml:space="preserve">Комплексная очистка газонов от листвы, мусора в апреле и октябре </t>
  </si>
  <si>
    <t xml:space="preserve">                                     </t>
  </si>
  <si>
    <t>(засоренность средняя)</t>
  </si>
  <si>
    <t xml:space="preserve">                                        </t>
  </si>
  <si>
    <t xml:space="preserve">                                      1 разряд</t>
  </si>
  <si>
    <t xml:space="preserve">Обоснование: ТНВ -87 "Озеленение"                                                                                                   </t>
  </si>
  <si>
    <t>100 кв. м за 1 раз</t>
  </si>
  <si>
    <t>Наименование работ</t>
  </si>
  <si>
    <t>Обосно- вание</t>
  </si>
  <si>
    <t>Разряд</t>
  </si>
  <si>
    <t>Н .вр.</t>
  </si>
  <si>
    <t>Очистка газонов от мусора и листвы 1 раз за месяц при сильной засоренности    1 раз*100м2=100м2</t>
  </si>
  <si>
    <t>ТНВ-87         1.2.1, п.1а</t>
  </si>
  <si>
    <t xml:space="preserve">Перенос мусора в малоемких предметах на расстояние более 50 м  1м2=1,0 кг  100м2= 0,1тн    </t>
  </si>
  <si>
    <t>ТНВ-87        1.6.2., п. 2</t>
  </si>
  <si>
    <t xml:space="preserve">Погрузка мусора на автомашины вручную    </t>
  </si>
  <si>
    <t>ТНВ-87          1.6.1.  п.2</t>
  </si>
  <si>
    <t>1тн</t>
  </si>
  <si>
    <t>Автотранспорт на расстояние 25км</t>
  </si>
  <si>
    <t xml:space="preserve">  м/час</t>
  </si>
  <si>
    <t>1 рейс-5тн-4ч; 0,1 тн-0,08 м/час</t>
  </si>
  <si>
    <t>На 100 м2 за 1 раз</t>
  </si>
  <si>
    <t>С накладными расходами</t>
  </si>
  <si>
    <t>С плановыми накоплениями</t>
  </si>
  <si>
    <t>100 кв. м за месяц</t>
  </si>
  <si>
    <t xml:space="preserve">Перенос мусора в малоемких предметах на расстояние более 50 м  100м2=20 кг        </t>
  </si>
  <si>
    <t xml:space="preserve"> </t>
  </si>
  <si>
    <t>1 рейс-5тн-4ч; 0,020 тн-0,016 м/час</t>
  </si>
  <si>
    <t>На 100 м2 на 1 месяц</t>
  </si>
  <si>
    <t>Всего</t>
  </si>
  <si>
    <t>В том числе</t>
  </si>
  <si>
    <t>Накладные расходы</t>
  </si>
  <si>
    <t>Сметная прибыль</t>
  </si>
  <si>
    <t>КАЛЬКУЛЯЦИЯ № 1</t>
  </si>
  <si>
    <t>КАЛЬКУЛЯЦИЯ № 2</t>
  </si>
  <si>
    <t>КАЛЬКУЛЯЦИЯ № 3</t>
  </si>
  <si>
    <t xml:space="preserve">                       Содержание кустарников одиночных и в группах в мае и октябре</t>
  </si>
  <si>
    <t>4 разряд</t>
  </si>
  <si>
    <t>1 куст за месяц</t>
  </si>
  <si>
    <t xml:space="preserve">          Наименование работ</t>
  </si>
  <si>
    <t>Ед. изм.</t>
  </si>
  <si>
    <t>Объём</t>
  </si>
  <si>
    <t xml:space="preserve">   Н. вр.</t>
  </si>
  <si>
    <t>Обрезка с прореживанием кроны кус-</t>
  </si>
  <si>
    <t xml:space="preserve">     1.2.7</t>
  </si>
  <si>
    <t>100 к.</t>
  </si>
  <si>
    <t>тарника , диам. куста-1 метр</t>
  </si>
  <si>
    <t xml:space="preserve">     п.3б</t>
  </si>
  <si>
    <t>Прополка и рыхление приствольных</t>
  </si>
  <si>
    <t xml:space="preserve">     1.2.5</t>
  </si>
  <si>
    <t>кругов</t>
  </si>
  <si>
    <t xml:space="preserve">     п.3</t>
  </si>
  <si>
    <t>Погрузка и разгрузка травы, сучьев на а/машину  100 к.-0,5 м3х0,8 тн=0,4 тн</t>
  </si>
  <si>
    <t xml:space="preserve">    1.6.1</t>
  </si>
  <si>
    <t xml:space="preserve">  Тн</t>
  </si>
  <si>
    <t xml:space="preserve">    п.2</t>
  </si>
  <si>
    <t>Транспорт для вывозки мусора на рас-</t>
  </si>
  <si>
    <t>стояние 25 км</t>
  </si>
  <si>
    <t xml:space="preserve"> М/ч</t>
  </si>
  <si>
    <t>1 рейс-5 тн-4 м/ч</t>
  </si>
  <si>
    <t>0,4 тн-0,32 м/ч</t>
  </si>
  <si>
    <t>Всего за месяц на 100кустов</t>
  </si>
  <si>
    <t>На 1куст</t>
  </si>
  <si>
    <t xml:space="preserve">С плановыми накоплениями </t>
  </si>
  <si>
    <t>Уход за кустарниками одиночными и в группах в июне, июле, августе, сентябре</t>
  </si>
  <si>
    <t>1 куст за 1 месяц</t>
  </si>
  <si>
    <t xml:space="preserve">        Наименование работ</t>
  </si>
  <si>
    <t xml:space="preserve">  Н. вр.</t>
  </si>
  <si>
    <t>Прополка и рыхление пристволь-</t>
  </si>
  <si>
    <t>ТНВ 1.2.5</t>
  </si>
  <si>
    <t>ных  кругов 1 раз в месяц,площадь</t>
  </si>
  <si>
    <t>100 шт.</t>
  </si>
  <si>
    <t xml:space="preserve">лунки –1 м2                 </t>
  </si>
  <si>
    <t xml:space="preserve"> п.3</t>
  </si>
  <si>
    <t>2 раз.</t>
  </si>
  <si>
    <t>Погрузка и разгрузка травы, сучьев на а/машину  100 к.-0,3 м3х0,8 тн=0,24 тн</t>
  </si>
  <si>
    <t>Транспорт на вывозку мусора на расстояние 25 км    1 рейс    5тн-4 м/час.</t>
  </si>
  <si>
    <t>Итого на 100 кустов:</t>
  </si>
  <si>
    <t>На 1 куст</t>
  </si>
  <si>
    <t xml:space="preserve">                       Уход за кустарниками одиночными и в группах в апреле</t>
  </si>
  <si>
    <t>1куст за месяц</t>
  </si>
  <si>
    <t>Стоимость</t>
  </si>
  <si>
    <t xml:space="preserve">Подкормка сухими минеральными </t>
  </si>
  <si>
    <t>1.2.5.</t>
  </si>
  <si>
    <t>100 кв.м</t>
  </si>
  <si>
    <t>удобрениями</t>
  </si>
  <si>
    <t>п.5</t>
  </si>
  <si>
    <t>Погрузка и разгрузка травы, сучьев на</t>
  </si>
  <si>
    <t>а/машину  100 к.-0,5 м3х0,8 тн=0,4 тн</t>
  </si>
  <si>
    <t>Транспорт для вывозки мусора на расстояние 25 км</t>
  </si>
  <si>
    <t>Расход удобрений : аммиачная селитра</t>
  </si>
  <si>
    <t>Прайслисты</t>
  </si>
  <si>
    <t>кг</t>
  </si>
  <si>
    <t>суперфосфат</t>
  </si>
  <si>
    <t>сульфат калия</t>
  </si>
  <si>
    <t>Итого на 100 кустов</t>
  </si>
  <si>
    <t>Итого на 1 куст</t>
  </si>
  <si>
    <t xml:space="preserve">Всего с НДС </t>
  </si>
  <si>
    <t>Содержание кустарников в живых изгородях колючих</t>
  </si>
  <si>
    <t>стригущихся в июне, июле, августе и сентябре</t>
  </si>
  <si>
    <t>100 п.м. за месяц</t>
  </si>
  <si>
    <t xml:space="preserve">      Наименование работ</t>
  </si>
  <si>
    <t>Ед.изм.</t>
  </si>
  <si>
    <t>Стоимость руб.</t>
  </si>
  <si>
    <t xml:space="preserve">  Н.вр.</t>
  </si>
  <si>
    <t>Стрижка живых изгородей шпалерными ножницами с земли. Площадь стрижки</t>
  </si>
  <si>
    <t xml:space="preserve"> 1.2.7</t>
  </si>
  <si>
    <t xml:space="preserve">  п.6а</t>
  </si>
  <si>
    <t xml:space="preserve"> 1.2.5.</t>
  </si>
  <si>
    <t xml:space="preserve">  п.3</t>
  </si>
  <si>
    <t>Погрузка и разгрузка травы, веток на а/машину вручную.               100 п.м.=0,008тн</t>
  </si>
  <si>
    <t xml:space="preserve"> 1.6.1</t>
  </si>
  <si>
    <t xml:space="preserve"> 1 тн</t>
  </si>
  <si>
    <t xml:space="preserve">  п.2</t>
  </si>
  <si>
    <t>Автотранспорт на расстояние до 25 км 1 рейс-5 тн-4 м/ч; 0,08 тн-0,064 м/ч</t>
  </si>
  <si>
    <t xml:space="preserve">Итого за 1 мес. 100 пог.м                                                                                                      </t>
  </si>
  <si>
    <t>Плановые накопления</t>
  </si>
  <si>
    <t>Уход за кустарниками в живых изгородях колючих</t>
  </si>
  <si>
    <t>в мае и октябре</t>
  </si>
  <si>
    <t xml:space="preserve">           Наименование работ</t>
  </si>
  <si>
    <t>Прочистка живой изгороди из колючих кустарников ножовкой  и секатором  1 раз в месяц</t>
  </si>
  <si>
    <t>ТНВ 1.2.7</t>
  </si>
  <si>
    <t>100 п.м.</t>
  </si>
  <si>
    <t xml:space="preserve"> п  8 в</t>
  </si>
  <si>
    <t>Прополка и рыхление приствольных канавок  1 раз в месяц</t>
  </si>
  <si>
    <t>ТНВ  1.2.5</t>
  </si>
  <si>
    <t xml:space="preserve"> п. 3</t>
  </si>
  <si>
    <t>Погрузка  травы, веток на машину вручную-</t>
  </si>
  <si>
    <t>ТНВ  1.6.1</t>
  </si>
  <si>
    <t xml:space="preserve">  1 тн</t>
  </si>
  <si>
    <t xml:space="preserve"> 100 кустов –0,2 м3</t>
  </si>
  <si>
    <t xml:space="preserve"> п. .2</t>
  </si>
  <si>
    <t xml:space="preserve">  2 раз.</t>
  </si>
  <si>
    <t>А/транспорт на 25 км   1 рейс 5 тн-4 м/ч  0,56 тн-0,448 м/час.</t>
  </si>
  <si>
    <t>М/ч</t>
  </si>
  <si>
    <t xml:space="preserve">                                                               Калькуляция № 9а/1</t>
  </si>
  <si>
    <t xml:space="preserve">Устройство цветников из однолетних растений </t>
  </si>
  <si>
    <t>н вр.</t>
  </si>
  <si>
    <t>Програбление поверхности после зимы с выравниванием земли и очисткой от мусора.</t>
  </si>
  <si>
    <t>ТНВ 1.2.1</t>
  </si>
  <si>
    <t>Штыковка почвы на глубину 25 см.; грунт средний</t>
  </si>
  <si>
    <t>ТНВ 1.1.2</t>
  </si>
  <si>
    <t>п.1</t>
  </si>
  <si>
    <t>Разравнивание вскопанной почвы, с уборкой камней, корней.</t>
  </si>
  <si>
    <t>п.2</t>
  </si>
  <si>
    <t>Полив земли перед посадкой 10л/м2              100х10=1м3</t>
  </si>
  <si>
    <t>ТНВ 2.4.8</t>
  </si>
  <si>
    <t>1000 м2</t>
  </si>
  <si>
    <t>Нанесение рисунка по цветнику;</t>
  </si>
  <si>
    <t>ТНВ 1.2.3</t>
  </si>
  <si>
    <t>100р</t>
  </si>
  <si>
    <t>редко</t>
  </si>
  <si>
    <t>Посадка цветов на1 м2 40 шт.</t>
  </si>
  <si>
    <t>Полив цветов после посадки. 10л/м2 – 1 м3</t>
  </si>
  <si>
    <t>1000м2</t>
  </si>
  <si>
    <t>Очистка, уборка мусора после посадки цветов.</t>
  </si>
  <si>
    <t>п. 1а</t>
  </si>
  <si>
    <t>Стоимость ПМ-130. Заправка с переездом 45мин.-6м3, 2 м3-15мин. Полив – 4,34ч.</t>
  </si>
  <si>
    <t>Итого: 4,34+0,25=4,59м/ч на 1000 м2 0,46м/ч-100м2</t>
  </si>
  <si>
    <t>Рыхление почвы во время посадки.</t>
  </si>
  <si>
    <t>п.7</t>
  </si>
  <si>
    <t>Стоимость рассады</t>
  </si>
  <si>
    <t>Прайс-лист</t>
  </si>
  <si>
    <t>1 шт.</t>
  </si>
  <si>
    <t>Перевозка рассады на расстояние до 10 км.</t>
  </si>
  <si>
    <t>Погрузка и разгрузка рассады на а/м в ящиках</t>
  </si>
  <si>
    <t>ТНВ 1.6.1</t>
  </si>
  <si>
    <t>100 ящ.</t>
  </si>
  <si>
    <t>Всего за месяц на 100м2</t>
  </si>
  <si>
    <t>На 1м2</t>
  </si>
  <si>
    <t xml:space="preserve">Накладные расходы </t>
  </si>
  <si>
    <t xml:space="preserve">Плановые накопления </t>
  </si>
  <si>
    <t>Уход за цветниками из однолетних цветов в июне</t>
  </si>
  <si>
    <t xml:space="preserve">   н. вр</t>
  </si>
  <si>
    <t xml:space="preserve">    Ч/ч</t>
  </si>
  <si>
    <t>Полив растений из ПМ – 130 100 м2*10 л*10 раз=1000 м2</t>
  </si>
  <si>
    <t>ТНВ   2.4.8, нормы 1и 2</t>
  </si>
  <si>
    <t>3 разр.</t>
  </si>
  <si>
    <t>Затраты на автотранспорт 10лх10р.х 100 м2=10000л</t>
  </si>
  <si>
    <t>а/м 1 рейс с заправкой и переездами – 45 мин.</t>
  </si>
  <si>
    <t>полив с распылением 60 мин 1 рейс – 45+60=105 мин</t>
  </si>
  <si>
    <t>10 м3: 6 м3=1,7 рейса</t>
  </si>
  <si>
    <t>1,7 рейса – 179 мин.=3 м/ч</t>
  </si>
  <si>
    <t>Рыхление почвы в цветниках</t>
  </si>
  <si>
    <t>ТНВ 1.1.2б</t>
  </si>
  <si>
    <t xml:space="preserve">  п.7</t>
  </si>
  <si>
    <t>Всего с  НДС</t>
  </si>
  <si>
    <t>Уход за цветниками  из однолетних растений в июле</t>
  </si>
  <si>
    <t>Обосно-</t>
  </si>
  <si>
    <t>вание</t>
  </si>
  <si>
    <t>Полив растений из ПМ – 130</t>
  </si>
  <si>
    <t>1000р</t>
  </si>
  <si>
    <t>Полив с распылением-60мин</t>
  </si>
  <si>
    <t>Прополка цветников с рыхлением</t>
  </si>
  <si>
    <t>ТНВ 1.2.1.</t>
  </si>
  <si>
    <t>2 разр, засоренность слабая</t>
  </si>
  <si>
    <t>п.2а</t>
  </si>
  <si>
    <t>Внесение минеральных удобрений</t>
  </si>
  <si>
    <t>Счет</t>
  </si>
  <si>
    <t xml:space="preserve">     кг</t>
  </si>
  <si>
    <t>Через ПМ –130 2 раза . удобрение-</t>
  </si>
  <si>
    <t xml:space="preserve">Азот  6гр *1 м2*100м2*2р=1200гр  </t>
  </si>
  <si>
    <t xml:space="preserve">Стрижка газонных бордюров 2 </t>
  </si>
  <si>
    <t xml:space="preserve">   м2</t>
  </si>
  <si>
    <t xml:space="preserve"> раза в  месяц, 5% от 100 м2</t>
  </si>
  <si>
    <t xml:space="preserve"> п.9</t>
  </si>
  <si>
    <t>Погрузка травы с землей</t>
  </si>
  <si>
    <t xml:space="preserve">     тн</t>
  </si>
  <si>
    <t>100 м2 – 0,01 тн</t>
  </si>
  <si>
    <t>А/транспорт на расстояние 25 км</t>
  </si>
  <si>
    <t>1 рейс – 5 тн – 4м/ч</t>
  </si>
  <si>
    <t xml:space="preserve"> м/ч</t>
  </si>
  <si>
    <t>0,1тн – 0,008 м/ч</t>
  </si>
  <si>
    <t>Уход за цветниками  из однолетних растений в августе</t>
  </si>
  <si>
    <t>1м2-10л-10р; 10л*10р*100м2</t>
  </si>
  <si>
    <t>2 раза, засоренность слабая</t>
  </si>
  <si>
    <t>Итого за месяц на 100м2</t>
  </si>
  <si>
    <t xml:space="preserve"> Уход за цветниками из однолетних растений в сентябре</t>
  </si>
  <si>
    <t>2 разря</t>
  </si>
  <si>
    <t>н.вр.</t>
  </si>
  <si>
    <t>Прополка цветников без рыхления</t>
  </si>
  <si>
    <t>п. 26</t>
  </si>
  <si>
    <t>100 м2 – 0,05 тн</t>
  </si>
  <si>
    <t>А/транспорт на расстояние 25 км 1 рейс-4 тн-4 м/час.   0,05тн= 0,04м/час.</t>
  </si>
  <si>
    <t xml:space="preserve">   </t>
  </si>
  <si>
    <t xml:space="preserve">Накладные расхлды:                                                                                           </t>
  </si>
  <si>
    <t xml:space="preserve">Плановые накопления                                                                                                                                                                                             </t>
  </si>
  <si>
    <t xml:space="preserve"> Уход за цветниками из однолетних растений в октябре</t>
  </si>
  <si>
    <t xml:space="preserve">     н. вр.</t>
  </si>
  <si>
    <t>Очистка цветников от стеблей и</t>
  </si>
  <si>
    <t xml:space="preserve">                 цветов</t>
  </si>
  <si>
    <t>п. 1в</t>
  </si>
  <si>
    <t>Погрузка мусора на а/машину</t>
  </si>
  <si>
    <t xml:space="preserve">    Тн</t>
  </si>
  <si>
    <t>100 м2 – 0,33тн</t>
  </si>
  <si>
    <t>Копание уплотненных почв на глубину 20 см.</t>
  </si>
  <si>
    <t>ТНВ   1.1.2</t>
  </si>
  <si>
    <t>4.</t>
  </si>
  <si>
    <t>А/транспорт для вывоза отходов на</t>
  </si>
  <si>
    <t>Расстоян.25км  м/ч</t>
  </si>
  <si>
    <t>1 рейс – 5тн – 4 м/ч; 0,33тн – 0,264 м/час</t>
  </si>
  <si>
    <t xml:space="preserve">     </t>
  </si>
  <si>
    <t xml:space="preserve">Накладные расходы                                                                                          </t>
  </si>
  <si>
    <t xml:space="preserve">Плановые накопления                                                                                        </t>
  </si>
  <si>
    <t xml:space="preserve">                                                                   Калькуляция  7/1</t>
  </si>
  <si>
    <t>в мае, июне, июле, августе, сентябре</t>
  </si>
  <si>
    <t>2разряд</t>
  </si>
  <si>
    <t>Н. врем.</t>
  </si>
  <si>
    <t>ч/ч</t>
  </si>
  <si>
    <t>Полив раст. машиной 2 раза в месяц 15 л на 1 м2</t>
  </si>
  <si>
    <t>15х100х2=3000л=3 м3 ; 3000л:6000л=0,5 рейса</t>
  </si>
  <si>
    <t>Заправка и переезд – 45 мин. Разбрызгивание – 60 мин, 0,5 рейса – 52 мин:60 мин=0,9 м/ч</t>
  </si>
  <si>
    <t>Стоимость ПМ-130</t>
  </si>
  <si>
    <t>Прополка цветников с рыхлением почвы при</t>
  </si>
  <si>
    <t>сильной засоренности 1 раз в месяц</t>
  </si>
  <si>
    <t>Селитра аммиач.       25 гр на 1 м2</t>
  </si>
  <si>
    <t>Кг</t>
  </si>
  <si>
    <t>Суперфасфат 60 гр     «</t>
  </si>
  <si>
    <t>Сульфат калия     30 гр    «</t>
  </si>
  <si>
    <t>С заготов. складск. расх. 2%</t>
  </si>
  <si>
    <t>ТНВ 1.6.1.</t>
  </si>
  <si>
    <t>100 м2 – 0,02 тн</t>
  </si>
  <si>
    <t>А/транспорт на расстоян. 25 км ЗИЛ-431610</t>
  </si>
  <si>
    <t>1 рейс – 5тн – 4 м/ч; 0,02 тн – 0,016 м/ч</t>
  </si>
  <si>
    <t>На 100 м2 на 1 месяц в мае и августе</t>
  </si>
  <si>
    <t>На 100 м2 на 1 месяц в июне,июле,сентябре</t>
  </si>
  <si>
    <t>(наименование работ и затрат, наименование объекта)</t>
  </si>
  <si>
    <t>№ пп</t>
  </si>
  <si>
    <t>Наименование</t>
  </si>
  <si>
    <t>Кол.</t>
  </si>
  <si>
    <t>Стоимость единицы, руб.</t>
  </si>
  <si>
    <t>Общая стоимость, руб.</t>
  </si>
  <si>
    <t>Осн.З/п</t>
  </si>
  <si>
    <t>З/пМех</t>
  </si>
  <si>
    <t>100 м2 промытой поверхности</t>
  </si>
  <si>
    <t>100 м2 окрашиваемой поверхности</t>
  </si>
  <si>
    <t>Итого прямые затраты по смете в ценах 2001г.</t>
  </si>
  <si>
    <t>Итого прямые затраты по смете с учетом коэффициентов к итогам</t>
  </si>
  <si>
    <t>Итоги по смете: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</si>
  <si>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</si>
  <si>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</si>
  <si>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</si>
  <si>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</si>
  <si>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</si>
  <si>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</si>
  <si>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НДС 18%</t>
  </si>
  <si>
    <t xml:space="preserve">  ВСЕГО по смете</t>
  </si>
  <si>
    <t>100 м2 пола</t>
  </si>
  <si>
    <t>100 м2 отделываемой поверхности</t>
  </si>
  <si>
    <t xml:space="preserve">Нормативная стоимость </t>
  </si>
  <si>
    <t xml:space="preserve">Содержание дрог, площадок с асфальтовым покрытием на объектах озеленения в летний период </t>
  </si>
  <si>
    <t xml:space="preserve">Содержание дорог, площадок с плиточным покрытием на объектах озеленения в летний период </t>
  </si>
  <si>
    <t>Очистка урн от мусора на объектах озеленения в летний  период на объектах в центре города, района</t>
  </si>
  <si>
    <t xml:space="preserve">    Калькуляция № 4</t>
  </si>
  <si>
    <t xml:space="preserve">    Калькуляция № 5</t>
  </si>
  <si>
    <t>КАЛЬКУЛЯЦИЯ  № 7</t>
  </si>
  <si>
    <t>КАЛЬКУЛЯЦИЯ  № 8</t>
  </si>
  <si>
    <t>КАЛЬКУЛЯЦИЯ  № 9</t>
  </si>
  <si>
    <t>КАЛЬКУЛЯЦИЯ  № 10</t>
  </si>
  <si>
    <t>КАЛЬКУЛЯЦИЯ № 11</t>
  </si>
  <si>
    <t>КАЛЬКУЛЯЦИЯ № 14</t>
  </si>
  <si>
    <t>КАЛЬКУЛЯЦИЯ № 19</t>
  </si>
  <si>
    <t>100 пог.м за 1 мес</t>
  </si>
  <si>
    <t>Перечень единичных расценок по текущему содержанию объектов</t>
  </si>
  <si>
    <t xml:space="preserve"> Наименование объекта</t>
  </si>
  <si>
    <t xml:space="preserve">Общая площадь объекта </t>
  </si>
  <si>
    <t>Общая стоимость содержания объекта, руб.</t>
  </si>
  <si>
    <t>Газоны</t>
  </si>
  <si>
    <t>Урны</t>
  </si>
  <si>
    <t>Скамьи</t>
  </si>
  <si>
    <t>Стоим. единицы</t>
  </si>
  <si>
    <t>Цветники (устройство)</t>
  </si>
  <si>
    <t xml:space="preserve">Содержание цветников </t>
  </si>
  <si>
    <t xml:space="preserve">Содержание кустарников </t>
  </si>
  <si>
    <t>Из однолетников</t>
  </si>
  <si>
    <t>Из однолетн.</t>
  </si>
  <si>
    <t>Из многолетн.</t>
  </si>
  <si>
    <t>Одиночн. и в группах</t>
  </si>
  <si>
    <t>В живой изгор.</t>
  </si>
  <si>
    <t>Площадь газона</t>
  </si>
  <si>
    <t>Стоим.единицы</t>
  </si>
  <si>
    <t>Стоим. Рыхления</t>
  </si>
  <si>
    <t>Общ.стоимость по газонам</t>
  </si>
  <si>
    <t>плит. покр.</t>
  </si>
  <si>
    <t>асф. покр.</t>
  </si>
  <si>
    <t>Колич.</t>
  </si>
  <si>
    <t>Стоим.ед.содерж</t>
  </si>
  <si>
    <t>Стоим.покраски</t>
  </si>
  <si>
    <t>Стоим.покраски ед.</t>
  </si>
  <si>
    <t>м2</t>
  </si>
  <si>
    <t xml:space="preserve">    м2 </t>
  </si>
  <si>
    <t>руб</t>
  </si>
  <si>
    <t>Дороги и площадки</t>
  </si>
  <si>
    <t>Рыхление снега на газонах в апреле</t>
  </si>
  <si>
    <t>100м2 за месяц</t>
  </si>
  <si>
    <t>Обосно-вание.</t>
  </si>
  <si>
    <t>Расценка.</t>
  </si>
  <si>
    <t>Ч\час.</t>
  </si>
  <si>
    <t>Стоимость,</t>
  </si>
  <si>
    <t>Разряд.</t>
  </si>
  <si>
    <t>Н.времени.</t>
  </si>
  <si>
    <t xml:space="preserve">Разбрасывание по газону снега слежавшегося </t>
  </si>
  <si>
    <t>ТНВ-87         1.2.1</t>
  </si>
  <si>
    <t>м3</t>
  </si>
  <si>
    <t>0,2 м2*100м2*50%=10 м3</t>
  </si>
  <si>
    <t>п. 12</t>
  </si>
  <si>
    <t>Итого зарплата</t>
  </si>
  <si>
    <t>Рыхление снега на газонах</t>
  </si>
  <si>
    <t>Разовое рыхение снега в апреле</t>
  </si>
  <si>
    <t>Рыхление снега на газонах, образовавшегося при уборке дорог и площадок</t>
  </si>
  <si>
    <t>Зимний период</t>
  </si>
  <si>
    <t>Дороги и площадки на территории объектов озеленения</t>
  </si>
  <si>
    <t>Механизированная очистка с открытием бортового камня, подсыпка обледенелой поверхности песком</t>
  </si>
  <si>
    <t>Ежедневная очистка от мусора с вывозкой</t>
  </si>
  <si>
    <t>Садовые скамьи на объектах в центре города</t>
  </si>
  <si>
    <t xml:space="preserve">Сметание снега </t>
  </si>
  <si>
    <t>Зимний  период</t>
  </si>
  <si>
    <t>Всего за 1 месяц зимнего периода</t>
  </si>
  <si>
    <t>С температурным коэффициентом</t>
  </si>
  <si>
    <t>И того со стоимостью атотрансп.</t>
  </si>
  <si>
    <t>Механизированная очистка с ручной доработкой дорог и площадок на объектах озеленения в зимний период</t>
  </si>
  <si>
    <t>Обосно-вание</t>
  </si>
  <si>
    <t>Объем.</t>
  </si>
  <si>
    <t>Н.времени</t>
  </si>
  <si>
    <t>Ч/час.</t>
  </si>
  <si>
    <t xml:space="preserve">     руб.</t>
  </si>
  <si>
    <t>Очистка дорожек от снега трактором со щеткой и ножом.</t>
  </si>
  <si>
    <t xml:space="preserve">  М/час</t>
  </si>
  <si>
    <t>1000-0,44м/ч;</t>
  </si>
  <si>
    <t>ТНВ-87,                             1.2.8       п. 17в</t>
  </si>
  <si>
    <t xml:space="preserve">   100м2</t>
  </si>
  <si>
    <t>ТНВ-87                   1.2.8</t>
  </si>
  <si>
    <t xml:space="preserve">     п.9</t>
  </si>
  <si>
    <t>Расход песка:</t>
  </si>
  <si>
    <t>1 тн</t>
  </si>
  <si>
    <t xml:space="preserve">    цена</t>
  </si>
  <si>
    <t>С температурным коэфициентом</t>
  </si>
  <si>
    <t xml:space="preserve">      Содержание садовых скамей в зимний период на объектах в центре города, района</t>
  </si>
  <si>
    <t>Обос-нование</t>
  </si>
  <si>
    <t>Ч /Час</t>
  </si>
  <si>
    <t>Стои-мость,</t>
  </si>
  <si>
    <t>Норма времени.</t>
  </si>
  <si>
    <t>1                                2</t>
  </si>
  <si>
    <t>ТНВ-87                1-2-8</t>
  </si>
  <si>
    <t xml:space="preserve">   100 м2</t>
  </si>
  <si>
    <t>п.4г</t>
  </si>
  <si>
    <t>Сметание снега с диванов и скамей при толщине слоя более 10 см 5 раз в месяц                                                                        Расчет:  5раз *1м2=5 м2</t>
  </si>
  <si>
    <t>ТНВ-87         1-2-8</t>
  </si>
  <si>
    <t>п. 4г</t>
  </si>
  <si>
    <t>Итого зарплата:</t>
  </si>
  <si>
    <t>Содержание садовых скамей на объектах в центре города, района</t>
  </si>
  <si>
    <t>Механизированная очистка дорог и площадок с ручной доработкой (с очисткой бортового камня)</t>
  </si>
  <si>
    <t>Зимнее содержание</t>
  </si>
  <si>
    <t>Летнее содержание</t>
  </si>
  <si>
    <t>Летнее сод.</t>
  </si>
  <si>
    <t>Зимн.сод.</t>
  </si>
  <si>
    <t>Летнее содерж.</t>
  </si>
  <si>
    <t>ручн.+мех оч.</t>
  </si>
  <si>
    <t>рыхлен.</t>
  </si>
  <si>
    <t>сад им. Миндовского</t>
  </si>
  <si>
    <t>Калькуляция № 24</t>
  </si>
  <si>
    <t>Калькуляция № 23</t>
  </si>
  <si>
    <t>Стоимость содержания объекта на периоды года</t>
  </si>
  <si>
    <t>Составил</t>
  </si>
  <si>
    <t>Проверил</t>
  </si>
  <si>
    <t>1500-0,66м/ч</t>
  </si>
  <si>
    <t>Расчет: 1м2 *5раз =5 м2</t>
  </si>
  <si>
    <t>Ведомость ресурсов</t>
  </si>
  <si>
    <t xml:space="preserve">    100 м</t>
  </si>
  <si>
    <t xml:space="preserve">    100 м2 </t>
  </si>
  <si>
    <t xml:space="preserve">100    м2 </t>
  </si>
  <si>
    <t xml:space="preserve"> при слабой засоренности  100м2*1 раз=100м2</t>
  </si>
  <si>
    <t>Погрузка мусора и сорной травы на а/машину 100м2=20 кг</t>
  </si>
  <si>
    <t>Вывоз мусора, травы  на свалку расстояние 25 км Расчет: 5тн-4м/ч;  0,2тн-0,016м/час.</t>
  </si>
  <si>
    <t>18*1,5+17*3</t>
  </si>
  <si>
    <t>Сметная стоимость строительных работ _______________________________________________________________________________________________</t>
  </si>
  <si>
    <t>Выкашивание газонов партерных и обыкновенных моторной косилкой</t>
  </si>
  <si>
    <t>100 м2 цветников и газонов партерных и обыкновенны</t>
  </si>
  <si>
    <t xml:space="preserve">  Итого</t>
  </si>
  <si>
    <t>Утверждаю</t>
  </si>
  <si>
    <t xml:space="preserve">Директор МБУ "Благоустройство </t>
  </si>
  <si>
    <t>Индустриального района"</t>
  </si>
  <si>
    <t>________________________/А.С. Полыгалов/</t>
  </si>
  <si>
    <t>КАЛЬКУЛЯЦИЯ</t>
  </si>
  <si>
    <r>
      <t xml:space="preserve"> </t>
    </r>
    <r>
      <rPr>
        <b/>
        <sz val="10"/>
        <rFont val="Times New Roman"/>
        <family val="1"/>
        <charset val="204"/>
      </rPr>
      <t xml:space="preserve"> ФОНД ОПЛАТЫ ТРУДА  РАБОЧИХ, ЗАНЯТЫХ  СОДЕРЖАНИЕМ </t>
    </r>
  </si>
  <si>
    <t>Нормальные условия труда</t>
  </si>
  <si>
    <t>На работы по озеленению</t>
  </si>
  <si>
    <t>Тариф</t>
  </si>
  <si>
    <t>Надбавки</t>
  </si>
  <si>
    <t>Вознагр</t>
  </si>
  <si>
    <t>Итого</t>
  </si>
  <si>
    <t>Отпускные</t>
  </si>
  <si>
    <t>Уральские</t>
  </si>
  <si>
    <t>Отчислен.</t>
  </si>
  <si>
    <t>руб/час</t>
  </si>
  <si>
    <t>от кол.3</t>
  </si>
  <si>
    <t xml:space="preserve"> от кол.3</t>
  </si>
  <si>
    <t>Сумма</t>
  </si>
  <si>
    <t>от кол.6</t>
  </si>
  <si>
    <t>от колон</t>
  </si>
  <si>
    <t>3+4+5</t>
  </si>
  <si>
    <t>6+7</t>
  </si>
  <si>
    <t>6+7+8</t>
  </si>
  <si>
    <t>9+10</t>
  </si>
  <si>
    <t>0</t>
  </si>
  <si>
    <t>0,36</t>
  </si>
  <si>
    <t>0,15</t>
  </si>
  <si>
    <t>Ставка рабочих 1-го разряда   по благоустройству, руб/мес.*</t>
  </si>
  <si>
    <t>Годовой фонд рабочего времени,час/год</t>
  </si>
  <si>
    <t>Число месяцев</t>
  </si>
  <si>
    <t>Стоимость 1 чел.час рабочего 1-го разряда, руб.</t>
  </si>
  <si>
    <t>1-й разряд</t>
  </si>
  <si>
    <t>2-й разряд</t>
  </si>
  <si>
    <t>3-й разряд</t>
  </si>
  <si>
    <t>4-й разряд</t>
  </si>
  <si>
    <t>5-й разряд</t>
  </si>
  <si>
    <t>6-й разряд</t>
  </si>
  <si>
    <t>7-й разряд</t>
  </si>
  <si>
    <t>Тарифные коэффициенты по Постановлению администрации города  от 23.04.2007 №132</t>
  </si>
  <si>
    <t>Составил инженер-сметчик СДО</t>
  </si>
  <si>
    <t>МБУ "Благоустройство Индустриального района"</t>
  </si>
  <si>
    <t>Сметание снега с диванов и скамей при толщине слоя до 10 см. –5  раз в месяц</t>
  </si>
  <si>
    <t>3*6 мес</t>
  </si>
  <si>
    <t>для зимы</t>
  </si>
  <si>
    <t>год</t>
  </si>
  <si>
    <t>ЗК</t>
  </si>
  <si>
    <t>ост АУК.</t>
  </si>
  <si>
    <t xml:space="preserve">* Минимальный размер  тарифной ставки Постановление администрации г. Перми № 874 от 20.12.11. </t>
  </si>
  <si>
    <t xml:space="preserve">Ручная очистка дорог и площадок на объектах озеленения в зимний период </t>
  </si>
  <si>
    <t>в месяц</t>
  </si>
  <si>
    <t>Ед.изм</t>
  </si>
  <si>
    <t>Уборка рыхлого снега слоем до 10 см</t>
  </si>
  <si>
    <t>ТНВ-87                   1-2-8</t>
  </si>
  <si>
    <t xml:space="preserve">  100м2</t>
  </si>
  <si>
    <t>ТНВ-87                    1-2-8</t>
  </si>
  <si>
    <t>100:4м=25п/м;</t>
  </si>
  <si>
    <t>п.17в</t>
  </si>
  <si>
    <t>Очистка плотного снега примерзшего к асфальту при толщине слоя до 5см  5 раз - 50% от площади</t>
  </si>
  <si>
    <t>ТНВ-87                                    1-2-8</t>
  </si>
  <si>
    <t>5 раз*50м2=250м2.</t>
  </si>
  <si>
    <t xml:space="preserve"> п.8в</t>
  </si>
  <si>
    <t xml:space="preserve"> 100м2</t>
  </si>
  <si>
    <t xml:space="preserve">Разбрасывание слежавшегося снега по газону 1раз в месяц </t>
  </si>
  <si>
    <t>ТНВ-87                           1-2-1</t>
  </si>
  <si>
    <t xml:space="preserve">    м3</t>
  </si>
  <si>
    <t xml:space="preserve">   п.12</t>
  </si>
  <si>
    <t>тн.</t>
  </si>
  <si>
    <t>цена</t>
  </si>
  <si>
    <t>С температурным коэф.</t>
  </si>
  <si>
    <t xml:space="preserve">  п.8а</t>
  </si>
  <si>
    <t>Ручная очистка дорог и площадок на объектах озеленения в зимний период</t>
  </si>
  <si>
    <t>Ручная очистка с открытием бортового камня, подсыпка обледенелой поверхности песком.</t>
  </si>
  <si>
    <t>Стоимость единицы</t>
  </si>
  <si>
    <t>ручная убор. (плитка)</t>
  </si>
  <si>
    <t xml:space="preserve">каталог ФГУ ФЦЦС </t>
  </si>
  <si>
    <t xml:space="preserve">Ручная очистка  спортивных площадок на объектах озеленения в зимний период </t>
  </si>
  <si>
    <t>Ручная очистка  спортивных площадок на объектах озеленения</t>
  </si>
  <si>
    <t xml:space="preserve">Ручная очистка дорог и площадок на объектах озеленения </t>
  </si>
  <si>
    <t>Калькуляция № 25</t>
  </si>
  <si>
    <t>Калькуляция № 26</t>
  </si>
  <si>
    <t>Тептина А.А.</t>
  </si>
  <si>
    <t>ручн. уборка площ со спорт. сооруж.</t>
  </si>
  <si>
    <t>100м2*0,1м*50%=5м3</t>
  </si>
  <si>
    <t>ФЕР</t>
  </si>
  <si>
    <t>Разбрасывание слежавшегося снега по газону1раз в сезон</t>
  </si>
  <si>
    <t>25м*1м*0,2м=5м3/3,5мес.</t>
  </si>
  <si>
    <t>800-0,352м/ч</t>
  </si>
  <si>
    <t>Уборка снега у газонных бортов дорожек с откидыванием его на газон 8 раз в месяц</t>
  </si>
  <si>
    <t>2 раз х100м2=200м2.</t>
  </si>
  <si>
    <t xml:space="preserve">ЛОКАЛЬНЫЙ СМЕТНЫЙ РАСЧЕТ № </t>
  </si>
  <si>
    <t>(локальная смета)</t>
  </si>
  <si>
    <t xml:space="preserve">на </t>
  </si>
  <si>
    <t xml:space="preserve">Основание: 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</si>
  <si>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</si>
  <si>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</si>
  <si>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_______________________________________________________________________________________________0,23</t>
  </si>
  <si>
    <t>чел.час</t>
  </si>
  <si>
    <t>Т/з осн.
раб.на ед.</t>
  </si>
  <si>
    <t>Т/з осн.
раб.
Всего</t>
  </si>
  <si>
    <t>Т/з мех. на ед.</t>
  </si>
  <si>
    <t>Т/з мех.
Всего</t>
  </si>
  <si>
    <t>Эк.Маш</t>
  </si>
  <si>
    <t xml:space="preserve">                           Раздел 1. Новый Раздел</t>
  </si>
  <si>
    <t>по ФЕР</t>
  </si>
  <si>
    <t>ФГУ ФЦЦС</t>
  </si>
  <si>
    <t>100 шт</t>
  </si>
  <si>
    <t xml:space="preserve">      Уход за кустарниками в живых изгородях не колючих</t>
  </si>
  <si>
    <t xml:space="preserve">в мае и октябре </t>
  </si>
  <si>
    <t xml:space="preserve">         Наименование работ</t>
  </si>
  <si>
    <t xml:space="preserve"> Ч/час</t>
  </si>
  <si>
    <t>Прочистка живой изгороди из древесно-</t>
  </si>
  <si>
    <t xml:space="preserve"> 100 п.м.</t>
  </si>
  <si>
    <t xml:space="preserve">  п.8б</t>
  </si>
  <si>
    <t>Прополка и рыхление приствольных канавок 1 раз в месяц ( 1 п.м.-3 шт.)</t>
  </si>
  <si>
    <t xml:space="preserve"> 100 шт.</t>
  </si>
  <si>
    <t>Погрузка травы, веток на</t>
  </si>
  <si>
    <t>а/машину вручную 100 кустов =0,14 тн</t>
  </si>
  <si>
    <t xml:space="preserve"> п.2</t>
  </si>
  <si>
    <t>А/транспорт  на 25 км 1 рейс-5 тн-4 м/ч   0,1 тн-0,112 м/ч</t>
  </si>
  <si>
    <t xml:space="preserve"> Накладные расходы</t>
  </si>
  <si>
    <t xml:space="preserve"> Плановые накопления                                                                                       </t>
  </si>
  <si>
    <t>Составлен(а) в текущих (прогнозных) ценах по состоянию на _______201_ г.</t>
  </si>
  <si>
    <t xml:space="preserve">  В том числе, справочно:</t>
  </si>
  <si>
    <t>КАЛЬКУЛЯЦИЯ  № 12</t>
  </si>
  <si>
    <t>Тептиан А.А.</t>
  </si>
  <si>
    <t>КАЛЬКУЛЯЦИЯ № 17</t>
  </si>
  <si>
    <t>Кустарники в живых изгородях   не колючих стригущихся</t>
  </si>
  <si>
    <t xml:space="preserve">Уход за кустарником в живых изгородях не колючих </t>
  </si>
  <si>
    <t>Уход за кустарниками в живых изгородях не колючих</t>
  </si>
  <si>
    <t>стригущихся в июне, июле, августе, сентябре</t>
  </si>
  <si>
    <t xml:space="preserve"> п.6а</t>
  </si>
  <si>
    <t>Прополка и рыхление приствольных канавок</t>
  </si>
  <si>
    <t xml:space="preserve"> ТНВ 1.2.5</t>
  </si>
  <si>
    <t>ТНВ 1.6.1,   п.2</t>
  </si>
  <si>
    <t>а/машину вручную  100 п.м.-0,5 м3х0, тн=0,35 тн</t>
  </si>
  <si>
    <t>А/транспорт на расстояние до 25 км 1 рейс-5 тн-4 м/ч: 0,35тн-0,28 м/ч</t>
  </si>
  <si>
    <t>1 раз в месяц ( 1п.м.-3шт.)</t>
  </si>
  <si>
    <t>Уход за кустарниками в живых изгородях не колючих стригущихся в июне,июле,августе и сентябре.</t>
  </si>
  <si>
    <t>Кустарники</t>
  </si>
  <si>
    <t>Одиночные и в группах.</t>
  </si>
  <si>
    <t>в живой изгороди</t>
  </si>
  <si>
    <t xml:space="preserve">Спорт. сооружения </t>
  </si>
  <si>
    <t>Стоим. сод.</t>
  </si>
  <si>
    <t xml:space="preserve">Спортивные сооружения </t>
  </si>
  <si>
    <t>покраска, промывка</t>
  </si>
  <si>
    <t>КАЛЬКУЛЯЦИЯ  № 13</t>
  </si>
  <si>
    <t>КАЛЬКУЛЯЦИЯ   № 15</t>
  </si>
  <si>
    <t>КАЛЬКУЛЯЦИЯ № 18</t>
  </si>
  <si>
    <t>КАЛЬКУЛЯЦИЯ № 20,21</t>
  </si>
  <si>
    <t>Калькуляция № 27</t>
  </si>
  <si>
    <t>14+15+16+17+18</t>
  </si>
  <si>
    <t>24*площадь дорог, площадок</t>
  </si>
  <si>
    <t>27*6мес</t>
  </si>
  <si>
    <t>1 месяц- 100м2*0,6*0,2кг*10раз=120кг</t>
  </si>
  <si>
    <t>10 раз х100м2=1000м2.</t>
  </si>
  <si>
    <t>100м2*0,6*10=600м2</t>
  </si>
  <si>
    <t>Расход песка - 60% площади: 100м2*0,6* 0,2кг * 10раз=120 кг</t>
  </si>
  <si>
    <t>Подсыпка обледенелых дорожек песком с подвозом его до 100м-10 раз в месяц 60% от площади</t>
  </si>
  <si>
    <t>Подсыпка обледенелых дорожек песком с подвозом его до 100м. Расчет:  10 раз в месяц 60% площади</t>
  </si>
  <si>
    <t>60м2*10раз=600м2.</t>
  </si>
  <si>
    <t>26*3,5мес</t>
  </si>
  <si>
    <t>29*3,5мес</t>
  </si>
  <si>
    <t>30*3,5</t>
  </si>
  <si>
    <t>1рейс-33ящ. 1 ящ.- 1000 раст. 3900-3,9ящ,</t>
  </si>
  <si>
    <t>33 ящ.– 2 часа, 3,9ящ.– 0,236часа</t>
  </si>
  <si>
    <t>зима первая</t>
  </si>
  <si>
    <t>зима 2</t>
  </si>
  <si>
    <t>ед. изм</t>
  </si>
  <si>
    <t xml:space="preserve">Объём </t>
  </si>
  <si>
    <t>Стоимость  ед. изм. , руб.</t>
  </si>
  <si>
    <t>Содержание садовых скамей в зимний период на объектах в центре города, района</t>
  </si>
  <si>
    <t>ИТОГО Зима:</t>
  </si>
  <si>
    <t>___________________/А.А. Тептина/</t>
  </si>
  <si>
    <t>По ФЕР</t>
  </si>
  <si>
    <t>1*8,5 мес</t>
  </si>
  <si>
    <t>2*8,5 мес</t>
  </si>
  <si>
    <t>Стоимость содержания элементов озеленения на период</t>
  </si>
  <si>
    <t xml:space="preserve">Дороги и площадки с асфальтовым покрытием на прочих объектах </t>
  </si>
  <si>
    <t xml:space="preserve">Дороги и площадки с плиточным покрытием </t>
  </si>
  <si>
    <t>Спортивные сооружения покраска, промывка.</t>
  </si>
  <si>
    <t>Устройство цветников из однолетних растений  40шт/м2</t>
  </si>
  <si>
    <t>100п.м.</t>
  </si>
  <si>
    <t>ИТОГО Лето:</t>
  </si>
  <si>
    <t>ИТОГО на год:</t>
  </si>
  <si>
    <t>Погрузочные работы при автомобильных перевозках: прочих материалов, деталей (с использованием погрузчика)</t>
  </si>
  <si>
    <t>1 т груза</t>
  </si>
  <si>
    <t>Перевозка грузов автомобилями-самосвалами грузоподъемностью 10 т, работающих вне карьера, на расстояние: до 32 км I класс груза</t>
  </si>
  <si>
    <t xml:space="preserve">  Итого по разделу 1 Новый Раздел</t>
  </si>
  <si>
    <t>ИТОГИ ПО СМЕТЕ:</t>
  </si>
  <si>
    <t>Окраска масляными составами ранее окрашенных металлических покрытий отдельных карнизов, брандмауэрных стен, парапетов, зонтов, сандриков, подоконных отливов, металлических балок, прогонов и других мелких покрытий: за один раз с земли и лесов</t>
  </si>
  <si>
    <t>Острожка дощатых покрытий площадью: до 5 м2</t>
  </si>
  <si>
    <t>ФЕРр62-39-1</t>
  </si>
  <si>
    <t>Промывка поверхности, окрашенной масляными красками: стен и фасадов</t>
  </si>
  <si>
    <t xml:space="preserve">                           Раздел 1. </t>
  </si>
  <si>
    <t>Окраска масляными составами ранее окрашенных больших металлических поверхностей (кроме крыш): за один раз</t>
  </si>
  <si>
    <t xml:space="preserve">Стоимость содержания сада им. Миндовского на 2013 г </t>
  </si>
  <si>
    <t>зима</t>
  </si>
  <si>
    <t>лето</t>
  </si>
  <si>
    <t xml:space="preserve">Зимнее содержание </t>
  </si>
  <si>
    <t>Помывка ограждений</t>
  </si>
  <si>
    <t>Помывка колонн от граффити</t>
  </si>
  <si>
    <t>1 м2/раз</t>
  </si>
  <si>
    <t>Прайс лист</t>
  </si>
  <si>
    <t>1м2/раз</t>
  </si>
  <si>
    <t>Входные колонны: промывка, очистка от граффити</t>
  </si>
  <si>
    <t>Ограждения: пром. Уд. Объявлений</t>
  </si>
  <si>
    <t>Коэф. Диф</t>
  </si>
  <si>
    <t>по состоянию на 2013 г.</t>
  </si>
  <si>
    <t>___________________________52950,58</t>
  </si>
  <si>
    <t xml:space="preserve">  68% =  80%*0,85 ФОТ (от 21030,67)  (Поз. 1)</t>
  </si>
  <si>
    <t xml:space="preserve">  40% =  50%*0,8 ФОТ (от 21030,67)  (Поз. 1)</t>
  </si>
  <si>
    <t>на м2</t>
  </si>
  <si>
    <t xml:space="preserve">    Индекс инфляции на 4 кв. 2012г. ОЗП=12,02; ЭМ=5,74; ЗПМ=12,02; МАТ=4,06  (Поз. 1)</t>
  </si>
  <si>
    <t>Промывка ограждения, удаление объявлений  в саду им. Миндовского</t>
  </si>
  <si>
    <t>Составлен(а) в текущих (прогнозных) ценах по состоянию на  4 кв. 2012 г.</t>
  </si>
  <si>
    <t>Составил:</t>
  </si>
  <si>
    <t>Инженер-сметчик СДО</t>
  </si>
  <si>
    <t>ПРИМ: Промывка поверхности, окрашенной масляными красками: стен и фасадов( Промывка ограждений)</t>
  </si>
  <si>
    <t>Покраска, промывка спортивных сооружения и дет. Комплексов</t>
  </si>
  <si>
    <t>_______________________________________________________________________________________________0,2</t>
  </si>
  <si>
    <t>Составил: Инженер-сметчик СДО                                                                                                                 Тептина А.А.</t>
  </si>
  <si>
    <t>Месячный фонд рабочего времени в 2013 г.</t>
  </si>
  <si>
    <t>МБУ "Благоустройство Индустриального района"  в  ценах   2013 г.</t>
  </si>
  <si>
    <t>Жидкость Антивандал-граффити, 500мл ср-во для удаления граффити, наклеек, смолы и др.</t>
  </si>
  <si>
    <t>Ед. изм</t>
  </si>
  <si>
    <t>Перечень работ</t>
  </si>
  <si>
    <t>Рыхление снега в апреле</t>
  </si>
  <si>
    <t>Комплексная очистка газонов от листвы и мусора</t>
  </si>
  <si>
    <t>Очистка газонов от мусора</t>
  </si>
  <si>
    <t>Уход за кустарниками одиночными и в группах в апреле</t>
  </si>
  <si>
    <t>м.п.</t>
  </si>
  <si>
    <t>Кустарники в живых изгородях</t>
  </si>
  <si>
    <t>дни</t>
  </si>
  <si>
    <t>Стоимость ед. изм</t>
  </si>
  <si>
    <t>4.1.</t>
  </si>
  <si>
    <t>4.2.</t>
  </si>
  <si>
    <t>4.3.</t>
  </si>
  <si>
    <t>6*1</t>
  </si>
  <si>
    <t>5.1.</t>
  </si>
  <si>
    <t>5.2.</t>
  </si>
  <si>
    <t>Содержание кустарников одиночных и в группах  май, октябрь</t>
  </si>
  <si>
    <t>5.3.</t>
  </si>
  <si>
    <t>Уход за кустарником в живых изгородях не колючих  май октябрь</t>
  </si>
  <si>
    <t>100м</t>
  </si>
  <si>
    <t>6.1.</t>
  </si>
  <si>
    <t>6.2.</t>
  </si>
  <si>
    <t>8.1.</t>
  </si>
  <si>
    <t>8.2.</t>
  </si>
  <si>
    <t>8.3.</t>
  </si>
  <si>
    <t>8.4.</t>
  </si>
  <si>
    <t>8.5.</t>
  </si>
  <si>
    <t>ИТОГО</t>
  </si>
  <si>
    <t>2 квартал</t>
  </si>
  <si>
    <t>3 квартал</t>
  </si>
  <si>
    <t>4 квартал</t>
  </si>
  <si>
    <t>Апрель 15.04.2013.-20.04.2013.</t>
  </si>
  <si>
    <t>Май 21.04.2013.-20.05.2013.</t>
  </si>
  <si>
    <t>Июнь 21.05.2013.-20.06.2013.</t>
  </si>
  <si>
    <t>Июль 21.06.2013.-20.07.2013.</t>
  </si>
  <si>
    <t>Август 21.07.2013.-20.08.2013.</t>
  </si>
  <si>
    <t>Сентябрь 21.08.2013.-20.09.2013.</t>
  </si>
  <si>
    <t>Октябрь 21.09.2013.-14.10.2013.</t>
  </si>
  <si>
    <t>Октябрь 15.10.2013.-20.10.2013.</t>
  </si>
  <si>
    <t>Ноябрь 21.10.2013.-20.11.2013.</t>
  </si>
  <si>
    <t>Декабрь 21.11.2013.-20.12.2013.</t>
  </si>
  <si>
    <t>Уход за кустарниками в живых изгородях не колючих  стригущихся в июне,июле,августе и сентябре.</t>
  </si>
  <si>
    <t>ВСЕГО с 15.04.2013 по 20.12.2013г.</t>
  </si>
  <si>
    <t>7.1.</t>
  </si>
  <si>
    <t>7.2.</t>
  </si>
  <si>
    <t>7.3.</t>
  </si>
  <si>
    <t>7.4.</t>
  </si>
  <si>
    <t>7.5.</t>
  </si>
  <si>
    <t>Газон:</t>
  </si>
  <si>
    <t>Кошение  газона моторной косилкой.</t>
  </si>
  <si>
    <t>Подметание при слабой  засоренности 10 раз в месяц</t>
  </si>
  <si>
    <t>10 раз*100м2=1000 м2</t>
  </si>
  <si>
    <t xml:space="preserve">Подметание при слабой  засоренности 10 раз в месяц </t>
  </si>
  <si>
    <t>10раз*100м2=1000 м2</t>
  </si>
  <si>
    <t>Уход за кустарниками одиночными и в группах в июне,  августе</t>
  </si>
  <si>
    <t>Уход за кустарниками одиночными и  в группах в июне,  августе</t>
  </si>
  <si>
    <t>Кошение 3,23</t>
  </si>
  <si>
    <t>комплексная очистка от листвы и мусора</t>
  </si>
  <si>
    <t>ежедневная очистка от мусора</t>
  </si>
  <si>
    <t>70.2</t>
  </si>
  <si>
    <t>0,302</t>
  </si>
  <si>
    <t>Кошение, Миндовский</t>
  </si>
  <si>
    <t>___________________________0,333</t>
  </si>
  <si>
    <t>тыс. руб.</t>
  </si>
  <si>
    <t>___________________________0,077</t>
  </si>
  <si>
    <t>_______________________________________________________________________________________________0,67</t>
  </si>
  <si>
    <t>Обосно-
вание</t>
  </si>
  <si>
    <r>
      <t>ФЕР47-01-080-07</t>
    </r>
    <r>
      <rPr>
        <i/>
        <sz val="9"/>
        <rFont val="Arial"/>
        <family val="2"/>
        <charset val="204"/>
      </rPr>
      <t xml:space="preserve">
Пр. Минрегион от  17.11.08 № 253</t>
    </r>
  </si>
  <si>
    <r>
      <t>ФССЦпг01-01-01-045</t>
    </r>
    <r>
      <rPr>
        <i/>
        <sz val="9"/>
        <rFont val="Arial"/>
        <family val="2"/>
        <charset val="204"/>
      </rPr>
      <t xml:space="preserve">
И1-Пр. Минрегион от 05.05.12 №189</t>
    </r>
  </si>
  <si>
    <r>
      <t>ФССЦпг03-21-01-032</t>
    </r>
    <r>
      <rPr>
        <i/>
        <sz val="9"/>
        <rFont val="Arial"/>
        <family val="2"/>
        <charset val="204"/>
      </rPr>
      <t xml:space="preserve">
Пр. Минрегион от 20.07.11 №354</t>
    </r>
  </si>
  <si>
    <t xml:space="preserve">    ОЗП=13,41; ЭМ=5,9; ЗПМ=13,41; МАТ=4,21  (Поз. 1)</t>
  </si>
  <si>
    <t xml:space="preserve">   Погрузка ПЗ=7,85 (ОЗП=7,85; ЭМ=7,85; ЗПМ=7,85; МАТ=7,85)  (Поз. 2)</t>
  </si>
  <si>
    <t xml:space="preserve">   Перевозка ПЗ=5,81 (ОЗП=5,81; ЭМ=5,81; ЗПМ=5,81; МАТ=5,81)  (Поз. 3)</t>
  </si>
  <si>
    <t xml:space="preserve">  98% =  115%*0,85 ФОТ (от 76,71)  (Поз. 1)</t>
  </si>
  <si>
    <t xml:space="preserve">  72% =  90%*0,8 ФОТ (от 76,71)  (Поз. 1)</t>
  </si>
  <si>
    <t xml:space="preserve">  Озеленение. Защитные лесонасаждения</t>
  </si>
  <si>
    <t xml:space="preserve">  Погрузо-разгрузочные работы при автоперевозках</t>
  </si>
  <si>
    <t xml:space="preserve">  Перевозка грузов автотранспортом</t>
  </si>
  <si>
    <t>Покраска скамей, Миндовский</t>
  </si>
  <si>
    <t>___________________________0,277</t>
  </si>
  <si>
    <t>___________________________0,086</t>
  </si>
  <si>
    <t>_______________________________________________________________________________________________0,73</t>
  </si>
  <si>
    <r>
      <t>ФЕРр62-39-2</t>
    </r>
    <r>
      <rPr>
        <i/>
        <sz val="9"/>
        <rFont val="Arial"/>
        <family val="2"/>
        <charset val="204"/>
      </rPr>
      <t xml:space="preserve">
Пр. Минрегион от 13.10.08 № 207</t>
    </r>
  </si>
  <si>
    <t>Промывка поверхности, окрашенной масляными красками: потолков</t>
  </si>
  <si>
    <r>
      <t>ФЕРр62-31-1</t>
    </r>
    <r>
      <rPr>
        <i/>
        <sz val="9"/>
        <rFont val="Arial"/>
        <family val="2"/>
        <charset val="204"/>
      </rPr>
      <t xml:space="preserve">
Пр. Минрегион от 13.10.08 № 207</t>
    </r>
  </si>
  <si>
    <r>
      <t>ФЕРр57-6-3</t>
    </r>
    <r>
      <rPr>
        <i/>
        <sz val="9"/>
        <rFont val="Arial"/>
        <family val="2"/>
        <charset val="204"/>
      </rPr>
      <t xml:space="preserve">
Пр. Минрегион от 13.10.08 № 207</t>
    </r>
  </si>
  <si>
    <r>
      <t>ФЕР15-04-029-02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</si>
  <si>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Покрытие полов лаком по огрунтованной или окрашенной поверхности: за 2 раза</t>
  </si>
  <si>
    <t xml:space="preserve">  Малярные работы (ремонтно-строительные)</t>
  </si>
  <si>
    <t xml:space="preserve">  Полы (ремонтно-строительные)</t>
  </si>
  <si>
    <t xml:space="preserve">  Отделочные работы</t>
  </si>
  <si>
    <t xml:space="preserve">    ОЗП=13,41; ЭМ=5,9; ЗПМ=13,41; МАТ=4,21  (Поз. 1-4)</t>
  </si>
  <si>
    <t xml:space="preserve">  68% =  80%*0,85 ФОТ (от 62,22)  (Поз. 1-3)</t>
  </si>
  <si>
    <t xml:space="preserve">  89% =  105%*0,85 ФОТ (от 23,87)  (Поз. 4)</t>
  </si>
  <si>
    <t xml:space="preserve">  40% =  50%*0,8 ФОТ (от 27,76)  (Поз. 1-2)</t>
  </si>
  <si>
    <t xml:space="preserve">  44% =  55%*0,8 ФОТ (от 23,87)  (Поз. 4)</t>
  </si>
  <si>
    <t xml:space="preserve">  54% =  68%*0,8 ФОТ (от 34,46)  (Поз. 3)</t>
  </si>
  <si>
    <t>покраска урн, Миндовский</t>
  </si>
  <si>
    <t>___________________________0,071</t>
  </si>
  <si>
    <t>___________________________0,022</t>
  </si>
  <si>
    <r>
      <t>ФЕРр62-39-1</t>
    </r>
    <r>
      <rPr>
        <i/>
        <sz val="9"/>
        <rFont val="Arial"/>
        <family val="2"/>
        <charset val="204"/>
      </rPr>
      <t xml:space="preserve">
Пр. Минрегион от 13.10.08 № 207</t>
    </r>
  </si>
  <si>
    <r>
      <t>ФЕРр62-29-1</t>
    </r>
    <r>
      <rPr>
        <i/>
        <sz val="9"/>
        <rFont val="Arial"/>
        <family val="2"/>
        <charset val="204"/>
      </rPr>
      <t xml:space="preserve">
Пр. Минрегион от 13.10.08 № 207</t>
    </r>
  </si>
  <si>
    <t xml:space="preserve">    ОЗП=13,41; ЭМ=5,9; ЗПМ=13,41; МАТ=4,21  (Поз. 1-2)</t>
  </si>
  <si>
    <t xml:space="preserve">  68% =  80%*0,85 ФОТ (от 22,39)  (Поз. 1-2)</t>
  </si>
  <si>
    <t xml:space="preserve">  40% =  50%*0,8 ФОТ (от 22,39)  (Поз. 1-2)</t>
  </si>
  <si>
    <t>спортивные сооружения, Миндовский</t>
  </si>
  <si>
    <t>___________________________0,085</t>
  </si>
  <si>
    <t>___________________________0,026</t>
  </si>
  <si>
    <t>ПРИМ:Промывка поверхности, окрашенной масляными красками: стен и фасадов</t>
  </si>
  <si>
    <t>ПРИМ:Окраска масляными составами ранее окрашенных металлических покрытий отдельных карнизов, брандмауэрных стен, парапетов, зонтов, сандриков, подоконных отливов, металлических балок, прогонов и других мелких покрытий: за один раз с земли и лесов</t>
  </si>
  <si>
    <t xml:space="preserve">  68% =  80%*0,85 ФОТ (от 25,88)  (Поз. 1-2)</t>
  </si>
  <si>
    <t xml:space="preserve">  40% =  50%*0,8 ФОТ (от 25,88)  (Поз. 1-2)</t>
  </si>
  <si>
    <t>колонны, Миндовский</t>
  </si>
  <si>
    <t>___________________________4,837</t>
  </si>
  <si>
    <t>___________________________0,637</t>
  </si>
  <si>
    <t>_______________________________________________________________________________________________5,98</t>
  </si>
  <si>
    <t xml:space="preserve">  68% =  80%*0,85 ФОТ (от 636,71)  (Поз. 1-2)</t>
  </si>
  <si>
    <t xml:space="preserve">  40% =  50%*0,8 ФОТ (от 636,71)  (Поз. 1-2)</t>
  </si>
  <si>
    <t>Уход за кустарником в живых изгородях колючих  май октябрь</t>
  </si>
  <si>
    <t xml:space="preserve">Входные колонны: пром. </t>
  </si>
  <si>
    <t>10*4+11*1,5</t>
  </si>
  <si>
    <t>КАЛЬКУЛЯЦИЯ № 29</t>
  </si>
  <si>
    <t>3разряд</t>
  </si>
  <si>
    <t>1 дерево за месяц</t>
  </si>
  <si>
    <t>Ед. измер</t>
  </si>
  <si>
    <t>н. вр.</t>
  </si>
  <si>
    <t>100 дер.</t>
  </si>
  <si>
    <t>Прополка и рыхление лунок</t>
  </si>
  <si>
    <t>п.3</t>
  </si>
  <si>
    <t>Полив деревьев поливочной машиной из шланга; из расчета 60 л на 1 дер. 1 раз в месяц</t>
  </si>
  <si>
    <t>100дер</t>
  </si>
  <si>
    <t>Поливочная машина 60лх100дер.=6000л 6м3</t>
  </si>
  <si>
    <t>Нормативная стоимость МУВБ</t>
  </si>
  <si>
    <t>1 маш.-6м3. Полив  – 45 мин.</t>
  </si>
  <si>
    <t>Заправка – 45минх1=45мин.</t>
  </si>
  <si>
    <t>45мин+45мин=90мин=1,5ч.</t>
  </si>
  <si>
    <t>Расход удобрения:аммиачная селитра</t>
  </si>
  <si>
    <t>суперфасфат</t>
  </si>
  <si>
    <t>Итого на 100 деревьев за месяц</t>
  </si>
  <si>
    <t>С накладными разходами</t>
  </si>
  <si>
    <t>Итого на 1 дерево</t>
  </si>
  <si>
    <t>Итого на 100 деревьев без прополки лунок и полива за месяц</t>
  </si>
  <si>
    <t>Подкормка сухими минеральными удобрениями1 раза в мес</t>
  </si>
  <si>
    <t>Содержание деревьев в  май,июнь</t>
  </si>
  <si>
    <t>Уход за деревьями май, июнь</t>
  </si>
  <si>
    <t>1 дерево</t>
  </si>
  <si>
    <t>Уход за деревьями</t>
  </si>
  <si>
    <t>Уход за деревьями май июнь</t>
  </si>
  <si>
    <t>28*2</t>
  </si>
  <si>
    <t>Коэфф. Дифлятор на 2014</t>
  </si>
  <si>
    <t>Стоимость содержания сада им. Миндовского в ценах 2013 г( с 21.12.2013 - 14.04.2014г.).</t>
  </si>
  <si>
    <t xml:space="preserve">Коэфф. Дифлятор </t>
  </si>
  <si>
    <t>Стоимость содержания сада им. Миндовского в ценах 2013 г( с 21.12.2014- 14.04.2015г.).</t>
  </si>
  <si>
    <t>Стоимость содержания сада им. Миндовского в ценах 2013 г( с 21.12.2015 - 14.04.2016г.).</t>
  </si>
  <si>
    <t>Механизированная очистка дорог и площадок с ручной доработкой (с очисткой бортового камня), подсыпка песка</t>
  </si>
  <si>
    <t>Ручная очистка дорог и площадок с очисткой бортового камня, подсыпка песком</t>
  </si>
  <si>
    <t>Содержание урн на объектах в центре города, района</t>
  </si>
  <si>
    <t>Рыхление снежных валов в апреле</t>
  </si>
  <si>
    <t>Деревья</t>
  </si>
  <si>
    <t>с 21.12.2013-20.12.2014г.</t>
  </si>
  <si>
    <t>с 21.12.2014-20.12.2015г.</t>
  </si>
  <si>
    <t>ИТОГО 2015г.</t>
  </si>
  <si>
    <t>ИТОГО 2014г.</t>
  </si>
  <si>
    <t xml:space="preserve">Стоимость содержания сада им. Миндовского на 2014-2016 г </t>
  </si>
  <si>
    <t>0,11</t>
  </si>
  <si>
    <t>на 2013</t>
  </si>
  <si>
    <t xml:space="preserve">песок </t>
  </si>
  <si>
    <t xml:space="preserve">Пермагробизнес </t>
  </si>
  <si>
    <t>фер</t>
  </si>
  <si>
    <t>Прайс</t>
  </si>
  <si>
    <t>Очистка газонов от мусора и листвы 30раз за месяц при слабой засоренности    15раз*100м2=3000м2</t>
  </si>
  <si>
    <t>100п.м.-300кустов=0,6 м3х0,7тн=0,42 тн</t>
  </si>
  <si>
    <t>кустарниковых пород  секатором 1 раз в месяц</t>
  </si>
  <si>
    <t>ки кустарника 1 п/м из расчёта 2 м2 1раз в месяц</t>
  </si>
  <si>
    <t>кустарника 1 п/м из расчета 2 м2-1 раз в месяц</t>
  </si>
  <si>
    <t>1м2-10л-15р; 100м2*15раз=150м2</t>
  </si>
  <si>
    <t>15000л:6000л- 2,5 рейса  1 рейс – заправка и переезды -45 мин</t>
  </si>
  <si>
    <t>105мин*2,5 рейса=262,5мин.</t>
  </si>
  <si>
    <t>262,5:60=5,8 часа</t>
  </si>
  <si>
    <t>10000л/6000л= 1,66рейса 1 рейс – заправка и переезды -45 мин.</t>
  </si>
  <si>
    <t>105мин*1,7 рейса=174,3мин.</t>
  </si>
  <si>
    <t>174,3:60=2,9 часа</t>
  </si>
  <si>
    <t>6*3+ 5*6+ 4*1</t>
  </si>
  <si>
    <t>Кошение 3 раз в сезон , ежедневная очистка от мусора, комплексная очистка от листвы и мусора</t>
  </si>
  <si>
    <t>7*1,5+8*4+9</t>
  </si>
  <si>
    <t>Уборка снега у газонных бортов дорожек с откидыванием его на газоны 10раз в месяц. Расчет:  10раз*25мх0,4м=100 м2</t>
  </si>
  <si>
    <t>Кустарники в живых изгородях   колючих стригущихся</t>
  </si>
  <si>
    <t xml:space="preserve">Расчет: Подметание 10 раз в месяц </t>
  </si>
  <si>
    <t>25п/м*0,4м*10 раз=100 м2</t>
  </si>
  <si>
    <t>10раз*(100 -10)м2=900м2</t>
  </si>
  <si>
    <t>10 раз х( 0,2*2*25)=100м2.</t>
  </si>
  <si>
    <t>Уборка плотного снега слоем свыше 5 см  100м2/4=25 м</t>
  </si>
  <si>
    <t xml:space="preserve">  п.8 в</t>
  </si>
  <si>
    <t>Очистка плотного снега примерзшего к асфальту при толщине слоя свыше 5 ( у борта )</t>
  </si>
  <si>
    <t>8в</t>
  </si>
  <si>
    <t>28*6мес</t>
  </si>
  <si>
    <t>РАСЧЕТ СТОИМОСТИ РАБОТ ПО СОДЕРЖАНИЮ ОБЪЕКТОВ ОЗЕЛЕНЕНИЯ</t>
  </si>
  <si>
    <t>с 21.12.2014 г. по 20.12.2015 г.</t>
  </si>
  <si>
    <t>( летнее содержание с 15.04.2015г. по 14.10.2015 г.; зимнее содержание с 21.12.2014 г. по 14.04.2015г., с 15.10.2015г. по 20.12.2015 г.)</t>
  </si>
  <si>
    <t xml:space="preserve">Наименование объекта </t>
  </si>
  <si>
    <t>Стоимость ед.изм., руб с НДС</t>
  </si>
  <si>
    <t>Стоимость с учетом НДС, руб.</t>
  </si>
  <si>
    <t>Лето</t>
  </si>
  <si>
    <t>Зима</t>
  </si>
  <si>
    <t>Сквер у ГКУК "Пермский дом народного творчества"</t>
  </si>
  <si>
    <t>газон:</t>
  </si>
  <si>
    <t xml:space="preserve">дорожки и площадки: </t>
  </si>
  <si>
    <t>урны:</t>
  </si>
  <si>
    <t>скамьи:</t>
  </si>
  <si>
    <t>цветники:</t>
  </si>
  <si>
    <t>однолетние</t>
  </si>
  <si>
    <t>многолетние</t>
  </si>
  <si>
    <t>вертикальное озеленение с вазонами:</t>
  </si>
  <si>
    <t>живая изгородь (не колючая):</t>
  </si>
  <si>
    <t>п.м.</t>
  </si>
  <si>
    <t>памятники:</t>
  </si>
  <si>
    <t>деревья :</t>
  </si>
  <si>
    <t xml:space="preserve">шт </t>
  </si>
  <si>
    <t>одиночные кустарники:</t>
  </si>
  <si>
    <t>Бульвар по Бр. Игнатовых</t>
  </si>
  <si>
    <t>кустарники:</t>
  </si>
  <si>
    <t>деревья:</t>
  </si>
  <si>
    <t>Бульвар по ул. Леонова от ул. Беляева до ул. Свиязева</t>
  </si>
  <si>
    <t>живая изгородь (колючая):</t>
  </si>
  <si>
    <t>Сквер по ул. Леонова</t>
  </si>
  <si>
    <t>Сквер на перекрестке ул. Мира и ул. Сов. Армии</t>
  </si>
  <si>
    <t>вертикальное озеленение  с вазонами</t>
  </si>
  <si>
    <t>Придорожный газон по ул. Карпинского от ул. Стахановской до ул. Советской Армии</t>
  </si>
  <si>
    <t>Транспортная развязка по ш. Космонавтов у ППФ Гознака</t>
  </si>
  <si>
    <t>вертикальное озеленение с вазонами</t>
  </si>
  <si>
    <t>Придорожный газон по ш. Космонавтов от ул. Малкова до путепровода</t>
  </si>
  <si>
    <t>Газон пр. Декабристов</t>
  </si>
  <si>
    <t>Транспортная развязка по ул. В. Васильева - ул. Карпинского</t>
  </si>
  <si>
    <t>Транспортная развязка по ул. Оверятская - ш. Космонавтов до ул. 2-а Красавинская</t>
  </si>
  <si>
    <t>луковичные</t>
  </si>
  <si>
    <t xml:space="preserve">вертикальное озеленение </t>
  </si>
  <si>
    <t>инертный материал</t>
  </si>
  <si>
    <t>Транспортная развязка ул. Карпинского-ул. Стахановская-ул. Мира</t>
  </si>
  <si>
    <t>Сквер на въезде в Индустриальный район</t>
  </si>
  <si>
    <t>вертикальное озеленение</t>
  </si>
  <si>
    <t>Цветник по ул. Мира около администрации Индустриального района</t>
  </si>
  <si>
    <t>ограждение</t>
  </si>
  <si>
    <t>Живая изгородь по ул. Комбайнеров</t>
  </si>
  <si>
    <t>Живая изгородь на перекрестке ул. Мира и ул. Д.Давыдова</t>
  </si>
  <si>
    <t>Живая изгородь по ул. Мира от ул. Качалова до ул. Одоевского</t>
  </si>
  <si>
    <t>Живая изгородь по ул. Мира от ул. Одоевского до ул. Комбайнеров</t>
  </si>
  <si>
    <t>Живая изгородь по ул. Мира от ул. Комбайнеров до ул. Заслонова</t>
  </si>
  <si>
    <t>Живая изгородь по ул. Мира от ул. Кавалерийская до ул. Снайперов</t>
  </si>
  <si>
    <t>Кустарники одиночные и в группах на перекрестке ул. Мира и ул. Д.Давыдова</t>
  </si>
  <si>
    <t xml:space="preserve">Живая изгородь по ул.Стахановская от ул.Баумана до ост.Баумана </t>
  </si>
  <si>
    <t>Живая изгородь по ул. Свиязева, 17</t>
  </si>
  <si>
    <t>пм</t>
  </si>
  <si>
    <t xml:space="preserve">Кронирование и санитарная
 обрезка деревьев </t>
  </si>
  <si>
    <t xml:space="preserve">ВСЕГО с НДС </t>
  </si>
  <si>
    <t>Сад имени Миндовского</t>
  </si>
  <si>
    <t>входные колонны:</t>
  </si>
  <si>
    <t>спортивные сооружения и детские комплексы</t>
  </si>
  <si>
    <t xml:space="preserve">Парк у Андроновских прудов </t>
  </si>
  <si>
    <t xml:space="preserve">мостик и лестница: </t>
  </si>
  <si>
    <t>газон в т.ч. кошение, уборка мусора, комплексная уборка :</t>
  </si>
  <si>
    <t>газон , уборка мусора:</t>
  </si>
  <si>
    <t>Парк Победы</t>
  </si>
  <si>
    <t>газон, уборка мусора:</t>
  </si>
  <si>
    <t xml:space="preserve">Снос деревьев </t>
  </si>
  <si>
    <t xml:space="preserve">Посадка деревьев </t>
  </si>
  <si>
    <t>с 21.12.2013 г. по 20.12.2014 г.</t>
  </si>
  <si>
    <t>( летнее содержание с 15.04.2014г. по 14.10.2014 г.; зимнее содержание с 21.12.2013 г. по 14.04.2014г., с 15.10.2014г. по 20.12.2014 г.)</t>
  </si>
  <si>
    <t>с 21.12.2013 года по 20.12.2014 г.</t>
  </si>
  <si>
    <t xml:space="preserve">снижение </t>
  </si>
  <si>
    <t>зимнее содержание ( 115 дней )</t>
  </si>
  <si>
    <t>летнее содержание ( 183 дня )</t>
  </si>
  <si>
    <t>зимнее содержание ( 67 дней )</t>
  </si>
  <si>
    <t>1 квартал</t>
  </si>
  <si>
    <t>Январь 21.12.2013.-20.01.2014.</t>
  </si>
  <si>
    <t>Февраль 21.01.2014.-20.02.2014.</t>
  </si>
  <si>
    <t>Март 21.02.2014.-20.03.2014.</t>
  </si>
  <si>
    <t>Апрель 21.03.2014.-14.04.2014.</t>
  </si>
  <si>
    <t>Апрель 15.04.2014.-20.04.2014.</t>
  </si>
  <si>
    <t>Май 21.04.2014.-20.05.2014.</t>
  </si>
  <si>
    <t>Июнь 21.05.2014.-20.06.2014.</t>
  </si>
  <si>
    <t>Июль 21.06.2014.-20.07.2014.</t>
  </si>
  <si>
    <t>Август 21.07.2014.-20.08.2014.</t>
  </si>
  <si>
    <t>Сентябрь 21.08.2014.-20.09.2014.</t>
  </si>
  <si>
    <t>Октябрь 21.09.2014.-14.10.2014.</t>
  </si>
  <si>
    <t>Октябрь 15.10.2014.-20.10.2014.</t>
  </si>
  <si>
    <t>Ноябрь 21.10.2014.-20.11.2014.</t>
  </si>
  <si>
    <t>Декабрь 21.11.2014.-20.12.2014.</t>
  </si>
  <si>
    <t>содержание объектов озеленения</t>
  </si>
  <si>
    <t xml:space="preserve">Содержание объектов озеленения 
 с НДС </t>
  </si>
  <si>
    <t>с 21.12.2014 года по 20.12.2015 г.</t>
  </si>
  <si>
    <t>Январь 21.12.2014.-20.01.2015.</t>
  </si>
  <si>
    <t>Февраль 21.01.2015.-20.02.2015.</t>
  </si>
  <si>
    <t>Март 21.02.2015.-20.03.2015.</t>
  </si>
  <si>
    <t>Апрель 15.04.2015.-20.04.2015.</t>
  </si>
  <si>
    <t>Май 21.04.2015.-20.05.2015.</t>
  </si>
  <si>
    <t>Июнь 21.05.2015.-20.06.2015.</t>
  </si>
  <si>
    <t>Июль 21.06.2015.-20.07.2015.</t>
  </si>
  <si>
    <t>Август 21.07.2015.-20.08.2015.</t>
  </si>
  <si>
    <t>Сентябрь 21.08.2015.-20.09.2015.</t>
  </si>
  <si>
    <t>Октябрь 21.09.2015.-14.10.2015.</t>
  </si>
  <si>
    <t>Октябрь 15.10.2015.-20.10.2015.</t>
  </si>
  <si>
    <t>Ноябрь 21.10.2015.-20.11.2015.</t>
  </si>
  <si>
    <t>Декабрь 21.11.2015.-20.12.2015.</t>
  </si>
  <si>
    <t xml:space="preserve">Кронирование, снос , посадка
 обрезка деревьев </t>
  </si>
  <si>
    <t>(летнее содержание с 15.04.2014г. по 14.10.2014 г.; зимнее содержание с 21.12.2013 г. по 14.04.2014г., с 15.10.2014г. по 20.12.2014 г.)</t>
  </si>
  <si>
    <t>Приложение № 3 к документации об открытом аукционе в электронной форме</t>
  </si>
</sst>
</file>

<file path=xl/styles.xml><?xml version="1.0" encoding="utf-8"?>
<styleSheet xmlns="http://schemas.openxmlformats.org/spreadsheetml/2006/main">
  <numFmts count="14">
    <numFmt numFmtId="6" formatCode="#,##0&quot;р.&quot;;[Red]\-#,##0&quot;р.&quot;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0_ ;\-#,##0.00\ "/>
    <numFmt numFmtId="165" formatCode="0.000"/>
    <numFmt numFmtId="166" formatCode="0.0"/>
    <numFmt numFmtId="167" formatCode="0.0000"/>
    <numFmt numFmtId="168" formatCode="_-* #,##0&quot;р.&quot;_-;\-* #,##0&quot;р.&quot;_-;_-* &quot;-&quot;??&quot;р.&quot;_-;_-@_-"/>
    <numFmt numFmtId="169" formatCode="#,##0.000_ ;\-#,##0.000\ "/>
    <numFmt numFmtId="170" formatCode="#,##0.0"/>
    <numFmt numFmtId="171" formatCode="0.00000"/>
    <numFmt numFmtId="172" formatCode="#,##0.000"/>
    <numFmt numFmtId="173" formatCode="#,##0.0000"/>
    <numFmt numFmtId="174" formatCode="#,##0.00000"/>
  </numFmts>
  <fonts count="68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Calibri"/>
      <family val="2"/>
      <charset val="204"/>
    </font>
    <font>
      <sz val="9"/>
      <color indexed="63"/>
      <name val="Times New Roman"/>
      <family val="1"/>
      <charset val="204"/>
    </font>
    <font>
      <sz val="9"/>
      <color indexed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7"/>
      <name val="Arial"/>
      <family val="2"/>
      <charset val="204"/>
    </font>
    <font>
      <i/>
      <sz val="9"/>
      <name val="Arial"/>
      <family val="2"/>
      <charset val="204"/>
    </font>
    <font>
      <sz val="8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7"/>
      <name val="Arial"/>
      <family val="2"/>
      <charset val="204"/>
    </font>
    <font>
      <b/>
      <sz val="8"/>
      <color theme="1"/>
      <name val="Calibri"/>
      <family val="2"/>
      <charset val="204"/>
      <scheme val="minor"/>
    </font>
    <font>
      <b/>
      <sz val="8"/>
      <color indexed="8"/>
      <name val="Times New Roman"/>
      <family val="1"/>
      <charset val="204"/>
    </font>
    <font>
      <b/>
      <sz val="10"/>
      <color indexed="8"/>
      <name val="Calibri"/>
      <family val="2"/>
      <charset val="204"/>
      <scheme val="minor"/>
    </font>
    <font>
      <i/>
      <sz val="8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i/>
      <sz val="10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9"/>
      <color rgb="FFFF0000"/>
      <name val="Calibri"/>
      <family val="2"/>
      <charset val="204"/>
      <scheme val="minor"/>
    </font>
    <font>
      <sz val="7"/>
      <color rgb="FF00000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C2D69A"/>
        <bgColor rgb="FF000000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1">
    <xf numFmtId="0" fontId="0" fillId="0" borderId="0"/>
    <xf numFmtId="44" fontId="3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43" fontId="3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</cellStyleXfs>
  <cellXfs count="1465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justify" vertical="center"/>
    </xf>
    <xf numFmtId="0" fontId="1" fillId="0" borderId="2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justify" vertical="center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justify"/>
    </xf>
    <xf numFmtId="0" fontId="1" fillId="0" borderId="8" xfId="0" applyFont="1" applyBorder="1" applyAlignment="1">
      <alignment horizontal="justify" vertical="top" wrapText="1"/>
    </xf>
    <xf numFmtId="0" fontId="1" fillId="0" borderId="9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7" xfId="0" applyFont="1" applyBorder="1" applyAlignment="1">
      <alignment horizontal="justify" vertical="top" wrapText="1"/>
    </xf>
    <xf numFmtId="2" fontId="1" fillId="0" borderId="7" xfId="0" applyNumberFormat="1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top" wrapText="1"/>
    </xf>
    <xf numFmtId="2" fontId="1" fillId="0" borderId="9" xfId="0" applyNumberFormat="1" applyFont="1" applyBorder="1" applyAlignment="1">
      <alignment horizontal="justify" vertical="top" wrapText="1"/>
    </xf>
    <xf numFmtId="0" fontId="1" fillId="0" borderId="10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/>
    </xf>
    <xf numFmtId="2" fontId="1" fillId="0" borderId="1" xfId="0" applyNumberFormat="1" applyFont="1" applyBorder="1" applyAlignment="1">
      <alignment horizontal="justify" vertical="top" wrapText="1"/>
    </xf>
    <xf numFmtId="0" fontId="7" fillId="0" borderId="0" xfId="0" applyFont="1"/>
    <xf numFmtId="0" fontId="7" fillId="0" borderId="1" xfId="0" applyFont="1" applyBorder="1"/>
    <xf numFmtId="0" fontId="7" fillId="0" borderId="1" xfId="0" applyFont="1" applyBorder="1" applyAlignment="1">
      <alignment wrapText="1"/>
    </xf>
    <xf numFmtId="2" fontId="7" fillId="0" borderId="1" xfId="0" applyNumberFormat="1" applyFont="1" applyBorder="1" applyAlignment="1">
      <alignment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6" fontId="7" fillId="0" borderId="0" xfId="0" applyNumberFormat="1" applyFont="1" applyAlignment="1">
      <alignment horizontal="center" vertical="center"/>
    </xf>
    <xf numFmtId="164" fontId="7" fillId="0" borderId="0" xfId="1" applyNumberFormat="1" applyFont="1" applyAlignment="1">
      <alignment horizontal="center" vertical="center"/>
    </xf>
    <xf numFmtId="44" fontId="7" fillId="0" borderId="0" xfId="1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6" fontId="7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2" fontId="7" fillId="5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0" fillId="0" borderId="0" xfId="0" applyFont="1"/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0" borderId="1" xfId="0" applyFont="1" applyBorder="1" applyAlignment="1">
      <alignment vertical="center" wrapText="1"/>
    </xf>
    <xf numFmtId="2" fontId="7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2" fontId="7" fillId="0" borderId="1" xfId="0" applyNumberFormat="1" applyFont="1" applyBorder="1"/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8" xfId="0" applyFont="1" applyBorder="1" applyAlignment="1">
      <alignment horizontal="justify" vertical="center" wrapText="1"/>
    </xf>
    <xf numFmtId="0" fontId="1" fillId="0" borderId="9" xfId="0" applyFont="1" applyBorder="1" applyAlignment="1">
      <alignment horizontal="justify" vertical="center" wrapText="1"/>
    </xf>
    <xf numFmtId="2" fontId="1" fillId="0" borderId="9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horizontal="right" vertical="center" wrapText="1"/>
    </xf>
    <xf numFmtId="43" fontId="1" fillId="0" borderId="9" xfId="17" applyFont="1" applyBorder="1" applyAlignment="1">
      <alignment horizontal="right" vertical="center" wrapText="1"/>
    </xf>
    <xf numFmtId="0" fontId="7" fillId="0" borderId="0" xfId="0" applyFont="1" applyAlignment="1">
      <alignment horizontal="right" vertical="center"/>
    </xf>
    <xf numFmtId="0" fontId="1" fillId="0" borderId="1" xfId="0" applyFont="1" applyBorder="1" applyAlignment="1">
      <alignment horizontal="justify" vertical="center" wrapText="1"/>
    </xf>
    <xf numFmtId="43" fontId="1" fillId="0" borderId="1" xfId="17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7" fillId="0" borderId="1" xfId="0" applyNumberFormat="1" applyFont="1" applyBorder="1" applyAlignment="1">
      <alignment vertical="center"/>
    </xf>
    <xf numFmtId="2" fontId="1" fillId="0" borderId="1" xfId="0" applyNumberFormat="1" applyFont="1" applyFill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justify" vertical="top" wrapText="1"/>
    </xf>
    <xf numFmtId="2" fontId="1" fillId="0" borderId="10" xfId="0" applyNumberFormat="1" applyFont="1" applyBorder="1" applyAlignment="1">
      <alignment horizontal="justify" vertical="top" wrapText="1"/>
    </xf>
    <xf numFmtId="14" fontId="1" fillId="0" borderId="9" xfId="0" applyNumberFormat="1" applyFont="1" applyBorder="1" applyAlignment="1">
      <alignment horizontal="justify" vertical="top" wrapText="1"/>
    </xf>
    <xf numFmtId="2" fontId="1" fillId="0" borderId="3" xfId="0" applyNumberFormat="1" applyFont="1" applyBorder="1" applyAlignment="1">
      <alignment vertical="top" wrapText="1"/>
    </xf>
    <xf numFmtId="0" fontId="1" fillId="0" borderId="3" xfId="0" applyFont="1" applyBorder="1" applyAlignment="1">
      <alignment horizontal="justify"/>
    </xf>
    <xf numFmtId="0" fontId="7" fillId="0" borderId="10" xfId="0" applyFont="1" applyBorder="1" applyAlignment="1">
      <alignment vertical="top" wrapText="1"/>
    </xf>
    <xf numFmtId="2" fontId="7" fillId="0" borderId="10" xfId="0" applyNumberFormat="1" applyFont="1" applyBorder="1" applyAlignment="1">
      <alignment vertical="top" wrapText="1"/>
    </xf>
    <xf numFmtId="0" fontId="7" fillId="0" borderId="1" xfId="0" applyFont="1" applyFill="1" applyBorder="1"/>
    <xf numFmtId="0" fontId="1" fillId="0" borderId="0" xfId="0" applyFont="1" applyAlignment="1"/>
    <xf numFmtId="0" fontId="7" fillId="0" borderId="0" xfId="0" applyFont="1" applyAlignment="1"/>
    <xf numFmtId="0" fontId="7" fillId="0" borderId="4" xfId="0" applyFont="1" applyBorder="1" applyAlignment="1">
      <alignment vertical="top" wrapText="1"/>
    </xf>
    <xf numFmtId="0" fontId="7" fillId="0" borderId="7" xfId="0" applyFont="1" applyBorder="1"/>
    <xf numFmtId="2" fontId="7" fillId="5" borderId="1" xfId="0" applyNumberFormat="1" applyFont="1" applyFill="1" applyBorder="1"/>
    <xf numFmtId="0" fontId="7" fillId="0" borderId="3" xfId="0" applyFont="1" applyBorder="1"/>
    <xf numFmtId="2" fontId="7" fillId="5" borderId="3" xfId="0" applyNumberFormat="1" applyFont="1" applyFill="1" applyBorder="1"/>
    <xf numFmtId="2" fontId="7" fillId="0" borderId="3" xfId="0" applyNumberFormat="1" applyFont="1" applyBorder="1"/>
    <xf numFmtId="0" fontId="7" fillId="5" borderId="1" xfId="0" applyFont="1" applyFill="1" applyBorder="1"/>
    <xf numFmtId="0" fontId="1" fillId="0" borderId="5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6" fontId="1" fillId="0" borderId="0" xfId="0" applyNumberFormat="1" applyFont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43" fontId="1" fillId="0" borderId="1" xfId="17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9" xfId="0" applyNumberFormat="1" applyFont="1" applyBorder="1" applyAlignment="1">
      <alignment horizontal="center" vertical="center" wrapText="1"/>
    </xf>
    <xf numFmtId="166" fontId="1" fillId="0" borderId="9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2" fontId="1" fillId="0" borderId="12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17" fontId="1" fillId="0" borderId="5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14" fontId="1" fillId="0" borderId="9" xfId="0" applyNumberFormat="1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43" fontId="1" fillId="0" borderId="9" xfId="17" applyFont="1" applyBorder="1" applyAlignment="1">
      <alignment horizontal="center" vertical="center" wrapText="1"/>
    </xf>
    <xf numFmtId="2" fontId="7" fillId="0" borderId="0" xfId="0" applyNumberFormat="1" applyFont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 wrapText="1"/>
    </xf>
    <xf numFmtId="2" fontId="1" fillId="5" borderId="1" xfId="1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 wrapText="1"/>
    </xf>
    <xf numFmtId="166" fontId="1" fillId="0" borderId="8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14" fontId="1" fillId="0" borderId="10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43" fontId="1" fillId="0" borderId="10" xfId="17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center" vertical="center" wrapText="1"/>
    </xf>
    <xf numFmtId="2" fontId="7" fillId="0" borderId="9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/>
    </xf>
    <xf numFmtId="166" fontId="1" fillId="0" borderId="10" xfId="0" applyNumberFormat="1" applyFont="1" applyBorder="1" applyAlignment="1">
      <alignment horizontal="center" vertical="center" wrapText="1"/>
    </xf>
    <xf numFmtId="166" fontId="7" fillId="0" borderId="9" xfId="0" applyNumberFormat="1" applyFont="1" applyBorder="1" applyAlignment="1">
      <alignment horizontal="center" vertical="center" wrapText="1"/>
    </xf>
    <xf numFmtId="14" fontId="1" fillId="0" borderId="8" xfId="0" applyNumberFormat="1" applyFont="1" applyBorder="1" applyAlignment="1">
      <alignment horizontal="center" vertical="center" wrapText="1"/>
    </xf>
    <xf numFmtId="43" fontId="1" fillId="0" borderId="8" xfId="17" applyFont="1" applyBorder="1" applyAlignment="1">
      <alignment horizontal="center" vertical="center" wrapText="1"/>
    </xf>
    <xf numFmtId="165" fontId="1" fillId="0" borderId="10" xfId="0" applyNumberFormat="1" applyFont="1" applyBorder="1" applyAlignment="1">
      <alignment horizontal="center" vertical="center" wrapText="1"/>
    </xf>
    <xf numFmtId="2" fontId="1" fillId="0" borderId="3" xfId="17" applyNumberFormat="1" applyFont="1" applyBorder="1" applyAlignment="1">
      <alignment horizontal="center" vertical="center" wrapText="1"/>
    </xf>
    <xf numFmtId="2" fontId="1" fillId="0" borderId="5" xfId="17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166" fontId="7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168" fontId="1" fillId="0" borderId="10" xfId="1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2" fontId="6" fillId="0" borderId="14" xfId="0" applyNumberFormat="1" applyFont="1" applyFill="1" applyBorder="1" applyAlignment="1">
      <alignment horizontal="center" vertical="center" wrapText="1"/>
    </xf>
    <xf numFmtId="2" fontId="6" fillId="0" borderId="18" xfId="0" applyNumberFormat="1" applyFont="1" applyFill="1" applyBorder="1" applyAlignment="1">
      <alignment horizontal="center" vertical="center" wrapText="1"/>
    </xf>
    <xf numFmtId="2" fontId="6" fillId="0" borderId="16" xfId="0" applyNumberFormat="1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2" fontId="6" fillId="0" borderId="17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165" fontId="6" fillId="0" borderId="14" xfId="0" applyNumberFormat="1" applyFont="1" applyFill="1" applyBorder="1" applyAlignment="1">
      <alignment horizontal="center" vertical="center"/>
    </xf>
    <xf numFmtId="165" fontId="15" fillId="0" borderId="14" xfId="1" applyNumberFormat="1" applyFont="1" applyFill="1" applyBorder="1" applyAlignment="1">
      <alignment horizontal="center" vertical="center"/>
    </xf>
    <xf numFmtId="169" fontId="15" fillId="0" borderId="14" xfId="1" applyNumberFormat="1" applyFont="1" applyFill="1" applyBorder="1" applyAlignment="1">
      <alignment horizontal="center" vertical="center"/>
    </xf>
    <xf numFmtId="2" fontId="6" fillId="0" borderId="14" xfId="0" applyNumberFormat="1" applyFont="1" applyFill="1" applyBorder="1" applyAlignment="1">
      <alignment horizontal="center" vertical="center"/>
    </xf>
    <xf numFmtId="2" fontId="6" fillId="0" borderId="14" xfId="1" applyNumberFormat="1" applyFont="1" applyFill="1" applyBorder="1" applyAlignment="1">
      <alignment horizontal="center" vertical="center"/>
    </xf>
    <xf numFmtId="4" fontId="6" fillId="0" borderId="14" xfId="1" applyNumberFormat="1" applyFont="1" applyFill="1" applyBorder="1" applyAlignment="1">
      <alignment horizontal="center" vertical="center"/>
    </xf>
    <xf numFmtId="2" fontId="6" fillId="0" borderId="20" xfId="1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9" fillId="0" borderId="0" xfId="0" applyFont="1" applyAlignment="1">
      <alignment horizontal="center" wrapText="1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right" wrapText="1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2" fontId="7" fillId="0" borderId="0" xfId="0" applyNumberFormat="1" applyFont="1" applyBorder="1" applyAlignment="1">
      <alignment horizontal="center" vertical="center" wrapText="1"/>
    </xf>
    <xf numFmtId="0" fontId="7" fillId="6" borderId="0" xfId="0" applyFont="1" applyFill="1" applyBorder="1" applyAlignment="1">
      <alignment horizontal="center" vertical="center"/>
    </xf>
    <xf numFmtId="0" fontId="7" fillId="6" borderId="0" xfId="0" applyFont="1" applyFill="1" applyBorder="1" applyAlignment="1">
      <alignment horizontal="left" vertical="center" wrapText="1"/>
    </xf>
    <xf numFmtId="0" fontId="7" fillId="6" borderId="0" xfId="0" applyFont="1" applyFill="1" applyBorder="1" applyAlignment="1">
      <alignment horizontal="center" vertical="center" wrapText="1"/>
    </xf>
    <xf numFmtId="2" fontId="7" fillId="6" borderId="0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wrapText="1"/>
    </xf>
    <xf numFmtId="0" fontId="9" fillId="6" borderId="0" xfId="0" applyFont="1" applyFill="1" applyAlignment="1">
      <alignment horizontal="center" wrapText="1"/>
    </xf>
    <xf numFmtId="0" fontId="10" fillId="0" borderId="21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2" fontId="10" fillId="0" borderId="22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1" fillId="0" borderId="1" xfId="9" applyFont="1" applyBorder="1"/>
    <xf numFmtId="0" fontId="1" fillId="0" borderId="1" xfId="9" applyFont="1" applyBorder="1" applyAlignment="1">
      <alignment wrapText="1"/>
    </xf>
    <xf numFmtId="49" fontId="1" fillId="0" borderId="1" xfId="9" applyNumberFormat="1" applyFont="1" applyBorder="1" applyAlignment="1">
      <alignment wrapText="1"/>
    </xf>
    <xf numFmtId="165" fontId="1" fillId="0" borderId="1" xfId="9" applyNumberFormat="1" applyFont="1" applyBorder="1" applyAlignment="1">
      <alignment wrapText="1"/>
    </xf>
    <xf numFmtId="166" fontId="1" fillId="0" borderId="1" xfId="9" applyNumberFormat="1" applyFont="1" applyBorder="1" applyAlignment="1">
      <alignment wrapText="1"/>
    </xf>
    <xf numFmtId="2" fontId="1" fillId="0" borderId="1" xfId="9" applyNumberFormat="1" applyFont="1" applyBorder="1" applyAlignment="1">
      <alignment wrapText="1"/>
    </xf>
    <xf numFmtId="2" fontId="1" fillId="5" borderId="1" xfId="9" applyNumberFormat="1" applyFont="1" applyFill="1" applyBorder="1" applyAlignment="1">
      <alignment wrapText="1"/>
    </xf>
    <xf numFmtId="0" fontId="1" fillId="0" borderId="0" xfId="9" applyFont="1" applyBorder="1"/>
    <xf numFmtId="2" fontId="1" fillId="0" borderId="1" xfId="9" applyNumberFormat="1" applyFont="1" applyFill="1" applyBorder="1" applyAlignment="1">
      <alignment wrapText="1"/>
    </xf>
    <xf numFmtId="2" fontId="12" fillId="0" borderId="1" xfId="9" applyNumberFormat="1" applyFont="1" applyFill="1" applyBorder="1" applyAlignment="1">
      <alignment wrapText="1"/>
    </xf>
    <xf numFmtId="0" fontId="20" fillId="0" borderId="1" xfId="14" applyBorder="1" applyAlignment="1">
      <alignment wrapText="1"/>
    </xf>
    <xf numFmtId="0" fontId="20" fillId="0" borderId="1" xfId="14" applyBorder="1"/>
    <xf numFmtId="0" fontId="21" fillId="0" borderId="8" xfId="14" applyFont="1" applyBorder="1" applyAlignment="1">
      <alignment horizontal="justify" vertical="top" wrapText="1"/>
    </xf>
    <xf numFmtId="0" fontId="21" fillId="0" borderId="5" xfId="14" applyFont="1" applyBorder="1" applyAlignment="1">
      <alignment horizontal="justify" vertical="top" wrapText="1"/>
    </xf>
    <xf numFmtId="0" fontId="21" fillId="0" borderId="9" xfId="14" applyFont="1" applyBorder="1" applyAlignment="1">
      <alignment horizontal="justify" vertical="top" wrapText="1"/>
    </xf>
    <xf numFmtId="0" fontId="21" fillId="0" borderId="10" xfId="14" applyFont="1" applyBorder="1" applyAlignment="1">
      <alignment horizontal="justify" vertical="top" wrapText="1"/>
    </xf>
    <xf numFmtId="49" fontId="21" fillId="0" borderId="10" xfId="14" applyNumberFormat="1" applyFont="1" applyBorder="1" applyAlignment="1">
      <alignment horizontal="justify" vertical="top" wrapText="1"/>
    </xf>
    <xf numFmtId="165" fontId="21" fillId="0" borderId="10" xfId="14" applyNumberFormat="1" applyFont="1" applyBorder="1" applyAlignment="1">
      <alignment horizontal="justify" vertical="top" wrapText="1"/>
    </xf>
    <xf numFmtId="0" fontId="21" fillId="0" borderId="1" xfId="14" applyFont="1" applyBorder="1" applyAlignment="1">
      <alignment horizontal="justify"/>
    </xf>
    <xf numFmtId="0" fontId="2" fillId="0" borderId="1" xfId="14" applyFont="1" applyBorder="1" applyAlignment="1">
      <alignment horizontal="justify"/>
    </xf>
    <xf numFmtId="166" fontId="21" fillId="0" borderId="9" xfId="14" applyNumberFormat="1" applyFont="1" applyBorder="1" applyAlignment="1">
      <alignment horizontal="justify" vertical="top" wrapText="1"/>
    </xf>
    <xf numFmtId="2" fontId="20" fillId="0" borderId="1" xfId="14" applyNumberFormat="1" applyBorder="1" applyAlignment="1">
      <alignment horizontal="right"/>
    </xf>
    <xf numFmtId="2" fontId="20" fillId="0" borderId="1" xfId="14" applyNumberFormat="1" applyBorder="1" applyAlignment="1">
      <alignment horizontal="right" wrapText="1"/>
    </xf>
    <xf numFmtId="166" fontId="21" fillId="0" borderId="8" xfId="14" applyNumberFormat="1" applyFont="1" applyBorder="1" applyAlignment="1">
      <alignment horizontal="justify" vertical="top" wrapText="1"/>
    </xf>
    <xf numFmtId="2" fontId="21" fillId="0" borderId="10" xfId="14" applyNumberFormat="1" applyFont="1" applyBorder="1" applyAlignment="1">
      <alignment horizontal="right" vertical="top" wrapText="1"/>
    </xf>
    <xf numFmtId="2" fontId="21" fillId="0" borderId="3" xfId="18" applyNumberFormat="1" applyFont="1" applyBorder="1" applyAlignment="1">
      <alignment horizontal="right" vertical="top" wrapText="1"/>
    </xf>
    <xf numFmtId="2" fontId="21" fillId="0" borderId="5" xfId="18" applyNumberFormat="1" applyFont="1" applyBorder="1" applyAlignment="1">
      <alignment horizontal="right" vertical="top" wrapText="1"/>
    </xf>
    <xf numFmtId="43" fontId="21" fillId="0" borderId="10" xfId="18" applyFont="1" applyBorder="1" applyAlignment="1">
      <alignment horizontal="justify" vertical="top" wrapText="1"/>
    </xf>
    <xf numFmtId="49" fontId="21" fillId="0" borderId="8" xfId="14" applyNumberFormat="1" applyFont="1" applyBorder="1" applyAlignment="1">
      <alignment horizontal="justify" vertical="top" wrapText="1"/>
    </xf>
    <xf numFmtId="43" fontId="21" fillId="0" borderId="8" xfId="14" applyNumberFormat="1" applyFont="1" applyBorder="1" applyAlignment="1">
      <alignment horizontal="justify" vertical="top" wrapText="1"/>
    </xf>
    <xf numFmtId="43" fontId="21" fillId="0" borderId="9" xfId="18" applyFont="1" applyBorder="1" applyAlignment="1">
      <alignment horizontal="justify" vertical="top" wrapText="1"/>
    </xf>
    <xf numFmtId="2" fontId="12" fillId="0" borderId="5" xfId="0" applyNumberFormat="1" applyFont="1" applyFill="1" applyBorder="1" applyAlignment="1">
      <alignment horizontal="center" vertical="center" wrapText="1"/>
    </xf>
    <xf numFmtId="0" fontId="1" fillId="0" borderId="1" xfId="15" applyFont="1" applyBorder="1"/>
    <xf numFmtId="0" fontId="1" fillId="0" borderId="8" xfId="15" applyFont="1" applyBorder="1" applyAlignment="1">
      <alignment horizontal="justify" vertical="top" wrapText="1"/>
    </xf>
    <xf numFmtId="0" fontId="1" fillId="0" borderId="1" xfId="15" applyFont="1" applyBorder="1" applyAlignment="1">
      <alignment horizontal="justify" vertical="top" wrapText="1"/>
    </xf>
    <xf numFmtId="0" fontId="1" fillId="0" borderId="9" xfId="15" applyFont="1" applyBorder="1" applyAlignment="1">
      <alignment horizontal="justify" vertical="top" wrapText="1"/>
    </xf>
    <xf numFmtId="0" fontId="1" fillId="0" borderId="10" xfId="15" applyFont="1" applyBorder="1" applyAlignment="1">
      <alignment horizontal="justify" vertical="top" wrapText="1"/>
    </xf>
    <xf numFmtId="0" fontId="1" fillId="0" borderId="7" xfId="15" applyFont="1" applyBorder="1" applyAlignment="1">
      <alignment horizontal="justify" vertical="top" wrapText="1"/>
    </xf>
    <xf numFmtId="2" fontId="1" fillId="0" borderId="1" xfId="15" applyNumberFormat="1" applyFont="1" applyBorder="1" applyAlignment="1">
      <alignment horizontal="justify" vertical="top" wrapText="1"/>
    </xf>
    <xf numFmtId="0" fontId="1" fillId="0" borderId="10" xfId="15" applyFont="1" applyBorder="1" applyAlignment="1">
      <alignment vertical="top" wrapText="1"/>
    </xf>
    <xf numFmtId="2" fontId="1" fillId="0" borderId="1" xfId="15" applyNumberFormat="1" applyFont="1" applyBorder="1"/>
    <xf numFmtId="0" fontId="1" fillId="0" borderId="1" xfId="15" applyFont="1" applyBorder="1" applyAlignment="1">
      <alignment horizontal="justify"/>
    </xf>
    <xf numFmtId="0" fontId="1" fillId="0" borderId="1" xfId="15" applyFont="1" applyBorder="1" applyAlignment="1">
      <alignment wrapText="1"/>
    </xf>
    <xf numFmtId="2" fontId="1" fillId="0" borderId="1" xfId="15" applyNumberFormat="1" applyFont="1" applyBorder="1" applyAlignment="1">
      <alignment wrapText="1"/>
    </xf>
    <xf numFmtId="2" fontId="1" fillId="0" borderId="10" xfId="15" applyNumberFormat="1" applyFont="1" applyBorder="1" applyAlignment="1">
      <alignment horizontal="justify" vertical="top" wrapText="1"/>
    </xf>
    <xf numFmtId="0" fontId="1" fillId="0" borderId="10" xfId="15" applyFont="1" applyBorder="1" applyAlignment="1">
      <alignment horizontal="left" vertical="top" wrapText="1"/>
    </xf>
    <xf numFmtId="0" fontId="1" fillId="0" borderId="1" xfId="15" applyFont="1" applyFill="1" applyBorder="1" applyAlignment="1">
      <alignment horizontal="justify" vertical="top" wrapText="1"/>
    </xf>
    <xf numFmtId="0" fontId="1" fillId="0" borderId="9" xfId="15" applyFont="1" applyBorder="1" applyAlignment="1">
      <alignment horizontal="left" vertical="top" wrapText="1"/>
    </xf>
    <xf numFmtId="166" fontId="1" fillId="0" borderId="1" xfId="15" applyNumberFormat="1" applyFont="1" applyBorder="1" applyAlignment="1">
      <alignment horizontal="justify" vertical="top" wrapText="1"/>
    </xf>
    <xf numFmtId="166" fontId="1" fillId="0" borderId="1" xfId="15" applyNumberFormat="1" applyFont="1" applyBorder="1"/>
    <xf numFmtId="0" fontId="20" fillId="0" borderId="1" xfId="16" applyFill="1" applyBorder="1"/>
    <xf numFmtId="0" fontId="20" fillId="0" borderId="1" xfId="16" applyBorder="1"/>
    <xf numFmtId="2" fontId="20" fillId="0" borderId="1" xfId="16" applyNumberFormat="1" applyBorder="1"/>
    <xf numFmtId="0" fontId="21" fillId="0" borderId="1" xfId="16" applyFont="1" applyBorder="1" applyAlignment="1">
      <alignment horizontal="justify" vertical="top" wrapText="1"/>
    </xf>
    <xf numFmtId="0" fontId="21" fillId="0" borderId="8" xfId="16" applyFont="1" applyBorder="1" applyAlignment="1">
      <alignment horizontal="justify" vertical="top" wrapText="1"/>
    </xf>
    <xf numFmtId="0" fontId="21" fillId="0" borderId="9" xfId="16" applyFont="1" applyBorder="1" applyAlignment="1">
      <alignment horizontal="justify" vertical="top" wrapText="1"/>
    </xf>
    <xf numFmtId="0" fontId="21" fillId="0" borderId="10" xfId="16" applyFont="1" applyBorder="1" applyAlignment="1">
      <alignment horizontal="justify" vertical="top" wrapText="1"/>
    </xf>
    <xf numFmtId="49" fontId="21" fillId="0" borderId="10" xfId="16" applyNumberFormat="1" applyFont="1" applyBorder="1" applyAlignment="1">
      <alignment horizontal="justify" vertical="top" wrapText="1"/>
    </xf>
    <xf numFmtId="2" fontId="21" fillId="0" borderId="1" xfId="16" applyNumberFormat="1" applyFont="1" applyBorder="1" applyAlignment="1">
      <alignment horizontal="justify" vertical="top" wrapText="1"/>
    </xf>
    <xf numFmtId="165" fontId="21" fillId="0" borderId="10" xfId="16" applyNumberFormat="1" applyFont="1" applyBorder="1" applyAlignment="1">
      <alignment horizontal="justify" vertical="top" wrapText="1"/>
    </xf>
    <xf numFmtId="2" fontId="21" fillId="0" borderId="10" xfId="16" applyNumberFormat="1" applyFont="1" applyBorder="1" applyAlignment="1">
      <alignment horizontal="justify" vertical="top" wrapText="1"/>
    </xf>
    <xf numFmtId="0" fontId="21" fillId="0" borderId="4" xfId="16" applyFont="1" applyBorder="1" applyAlignment="1">
      <alignment horizontal="left" vertical="top" wrapText="1"/>
    </xf>
    <xf numFmtId="49" fontId="1" fillId="0" borderId="8" xfId="16" applyNumberFormat="1" applyFont="1" applyBorder="1" applyAlignment="1">
      <alignment vertical="top" wrapText="1"/>
    </xf>
    <xf numFmtId="2" fontId="21" fillId="0" borderId="7" xfId="16" applyNumberFormat="1" applyFont="1" applyBorder="1" applyAlignment="1">
      <alignment horizontal="justify" vertical="top" wrapText="1"/>
    </xf>
    <xf numFmtId="165" fontId="21" fillId="0" borderId="8" xfId="16" applyNumberFormat="1" applyFont="1" applyBorder="1" applyAlignment="1">
      <alignment horizontal="justify" vertical="top" wrapText="1"/>
    </xf>
    <xf numFmtId="2" fontId="21" fillId="0" borderId="8" xfId="16" applyNumberFormat="1" applyFont="1" applyBorder="1" applyAlignment="1">
      <alignment horizontal="justify" vertical="top" wrapText="1"/>
    </xf>
    <xf numFmtId="0" fontId="1" fillId="0" borderId="9" xfId="16" applyFont="1" applyBorder="1" applyAlignment="1">
      <alignment vertical="top" wrapText="1"/>
    </xf>
    <xf numFmtId="0" fontId="20" fillId="0" borderId="9" xfId="16" applyBorder="1" applyAlignment="1">
      <alignment vertical="top" wrapText="1"/>
    </xf>
    <xf numFmtId="0" fontId="21" fillId="0" borderId="1" xfId="16" applyFont="1" applyBorder="1" applyAlignment="1">
      <alignment horizontal="justify"/>
    </xf>
    <xf numFmtId="0" fontId="21" fillId="0" borderId="1" xfId="16" applyFont="1" applyFill="1" applyBorder="1" applyAlignment="1">
      <alignment horizontal="justify" vertical="top" wrapText="1"/>
    </xf>
    <xf numFmtId="0" fontId="1" fillId="0" borderId="1" xfId="2" applyFont="1" applyBorder="1" applyAlignment="1"/>
    <xf numFmtId="0" fontId="1" fillId="0" borderId="1" xfId="2" applyFont="1" applyBorder="1"/>
    <xf numFmtId="0" fontId="1" fillId="0" borderId="1" xfId="2" applyFont="1" applyBorder="1" applyAlignment="1">
      <alignment wrapText="1"/>
    </xf>
    <xf numFmtId="49" fontId="1" fillId="0" borderId="1" xfId="2" applyNumberFormat="1" applyFont="1" applyBorder="1" applyAlignment="1">
      <alignment wrapText="1"/>
    </xf>
    <xf numFmtId="165" fontId="1" fillId="0" borderId="1" xfId="2" applyNumberFormat="1" applyFont="1" applyBorder="1" applyAlignment="1">
      <alignment wrapText="1"/>
    </xf>
    <xf numFmtId="2" fontId="1" fillId="0" borderId="1" xfId="2" applyNumberFormat="1" applyFont="1" applyBorder="1" applyAlignment="1">
      <alignment wrapText="1"/>
    </xf>
    <xf numFmtId="2" fontId="1" fillId="5" borderId="1" xfId="2" applyNumberFormat="1" applyFont="1" applyFill="1" applyBorder="1" applyAlignment="1">
      <alignment wrapText="1"/>
    </xf>
    <xf numFmtId="0" fontId="1" fillId="0" borderId="3" xfId="2" applyFont="1" applyBorder="1" applyAlignment="1">
      <alignment wrapText="1"/>
    </xf>
    <xf numFmtId="0" fontId="1" fillId="0" borderId="5" xfId="2" applyFont="1" applyBorder="1" applyAlignment="1">
      <alignment wrapText="1"/>
    </xf>
    <xf numFmtId="167" fontId="1" fillId="0" borderId="1" xfId="2" applyNumberFormat="1" applyFont="1" applyBorder="1" applyAlignment="1">
      <alignment wrapText="1"/>
    </xf>
    <xf numFmtId="0" fontId="19" fillId="0" borderId="0" xfId="0" applyFont="1"/>
    <xf numFmtId="170" fontId="7" fillId="0" borderId="0" xfId="0" applyNumberFormat="1" applyFont="1" applyAlignment="1">
      <alignment horizontal="center" vertical="center"/>
    </xf>
    <xf numFmtId="166" fontId="7" fillId="0" borderId="0" xfId="0" applyNumberFormat="1" applyFont="1" applyAlignment="1">
      <alignment horizontal="center" vertical="center"/>
    </xf>
    <xf numFmtId="4" fontId="17" fillId="0" borderId="22" xfId="0" applyNumberFormat="1" applyFont="1" applyFill="1" applyBorder="1" applyAlignment="1">
      <alignment horizontal="center" vertical="center" wrapText="1"/>
    </xf>
    <xf numFmtId="0" fontId="37" fillId="0" borderId="0" xfId="0" applyFont="1"/>
    <xf numFmtId="0" fontId="37" fillId="0" borderId="0" xfId="0" applyFont="1" applyAlignment="1">
      <alignment horizontal="right"/>
    </xf>
    <xf numFmtId="0" fontId="38" fillId="0" borderId="0" xfId="0" applyFont="1"/>
    <xf numFmtId="0" fontId="37" fillId="0" borderId="0" xfId="0" quotePrefix="1" applyFont="1" applyBorder="1" applyAlignment="1">
      <alignment horizontal="centerContinuous"/>
    </xf>
    <xf numFmtId="0" fontId="37" fillId="0" borderId="0" xfId="0" applyFont="1" applyAlignment="1"/>
    <xf numFmtId="0" fontId="37" fillId="0" borderId="0" xfId="0" applyFont="1" applyBorder="1" applyAlignment="1">
      <alignment horizontal="centerContinuous"/>
    </xf>
    <xf numFmtId="0" fontId="37" fillId="0" borderId="0" xfId="0" applyFont="1" applyAlignment="1">
      <alignment horizontal="centerContinuous"/>
    </xf>
    <xf numFmtId="0" fontId="12" fillId="0" borderId="1" xfId="0" applyFont="1" applyBorder="1" applyAlignment="1">
      <alignment horizontal="center"/>
    </xf>
    <xf numFmtId="9" fontId="12" fillId="0" borderId="1" xfId="0" applyNumberFormat="1" applyFont="1" applyBorder="1" applyAlignment="1">
      <alignment horizontal="center"/>
    </xf>
    <xf numFmtId="10" fontId="12" fillId="0" borderId="1" xfId="0" applyNumberFormat="1" applyFont="1" applyBorder="1" applyAlignment="1">
      <alignment horizontal="center"/>
    </xf>
    <xf numFmtId="9" fontId="12" fillId="0" borderId="1" xfId="0" quotePrefix="1" applyNumberFormat="1" applyFont="1" applyBorder="1" applyAlignment="1">
      <alignment horizontal="center"/>
    </xf>
    <xf numFmtId="0" fontId="12" fillId="0" borderId="1" xfId="0" applyNumberFormat="1" applyFont="1" applyBorder="1" applyAlignment="1">
      <alignment horizontal="center"/>
    </xf>
    <xf numFmtId="0" fontId="12" fillId="0" borderId="1" xfId="0" quotePrefix="1" applyFont="1" applyBorder="1" applyAlignment="1">
      <alignment horizontal="center" wrapText="1"/>
    </xf>
    <xf numFmtId="49" fontId="12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7" fillId="0" borderId="1" xfId="0" applyFont="1" applyBorder="1" applyAlignment="1">
      <alignment horizontal="center"/>
    </xf>
    <xf numFmtId="0" fontId="37" fillId="0" borderId="1" xfId="0" quotePrefix="1" applyFont="1" applyBorder="1" applyAlignment="1">
      <alignment horizontal="left"/>
    </xf>
    <xf numFmtId="0" fontId="37" fillId="0" borderId="1" xfId="0" applyFont="1" applyBorder="1"/>
    <xf numFmtId="0" fontId="37" fillId="0" borderId="1" xfId="0" applyFont="1" applyBorder="1" applyAlignment="1">
      <alignment horizontal="left"/>
    </xf>
    <xf numFmtId="2" fontId="37" fillId="0" borderId="1" xfId="0" applyNumberFormat="1" applyFont="1" applyBorder="1"/>
    <xf numFmtId="2" fontId="12" fillId="0" borderId="1" xfId="0" applyNumberFormat="1" applyFont="1" applyBorder="1"/>
    <xf numFmtId="0" fontId="37" fillId="0" borderId="0" xfId="0" applyFont="1" applyBorder="1"/>
    <xf numFmtId="2" fontId="37" fillId="0" borderId="0" xfId="0" applyNumberFormat="1" applyFont="1" applyBorder="1"/>
    <xf numFmtId="2" fontId="12" fillId="0" borderId="0" xfId="0" applyNumberFormat="1" applyFont="1" applyBorder="1"/>
    <xf numFmtId="2" fontId="1" fillId="0" borderId="0" xfId="0" applyNumberFormat="1" applyFont="1" applyBorder="1"/>
    <xf numFmtId="2" fontId="0" fillId="2" borderId="0" xfId="0" applyNumberFormat="1" applyFill="1"/>
    <xf numFmtId="2" fontId="0" fillId="3" borderId="0" xfId="0" applyNumberFormat="1" applyFill="1"/>
    <xf numFmtId="2" fontId="0" fillId="4" borderId="0" xfId="0" applyNumberFormat="1" applyFill="1"/>
    <xf numFmtId="4" fontId="10" fillId="0" borderId="22" xfId="0" applyNumberFormat="1" applyFont="1" applyFill="1" applyBorder="1" applyAlignment="1">
      <alignment horizontal="center" vertical="center" wrapText="1"/>
    </xf>
    <xf numFmtId="4" fontId="10" fillId="0" borderId="0" xfId="0" applyNumberFormat="1" applyFont="1" applyFill="1" applyBorder="1" applyAlignment="1">
      <alignment horizontal="center" vertical="center" wrapText="1"/>
    </xf>
    <xf numFmtId="4" fontId="10" fillId="0" borderId="0" xfId="0" applyNumberFormat="1" applyFont="1" applyFill="1" applyAlignment="1">
      <alignment horizontal="center" vertical="center" wrapText="1"/>
    </xf>
    <xf numFmtId="4" fontId="10" fillId="8" borderId="0" xfId="0" applyNumberFormat="1" applyFont="1" applyFill="1" applyBorder="1" applyAlignment="1">
      <alignment horizontal="center" vertical="center" wrapText="1"/>
    </xf>
    <xf numFmtId="4" fontId="39" fillId="0" borderId="0" xfId="0" applyNumberFormat="1" applyFont="1" applyFill="1" applyAlignment="1">
      <alignment horizontal="center" vertical="center" wrapText="1"/>
    </xf>
    <xf numFmtId="4" fontId="10" fillId="9" borderId="14" xfId="0" applyNumberFormat="1" applyFont="1" applyFill="1" applyBorder="1" applyAlignment="1">
      <alignment horizontal="center" vertical="center" wrapText="1"/>
    </xf>
    <xf numFmtId="4" fontId="10" fillId="10" borderId="14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1" fillId="0" borderId="0" xfId="0" applyFont="1"/>
    <xf numFmtId="0" fontId="1" fillId="0" borderId="0" xfId="19" applyFont="1"/>
    <xf numFmtId="166" fontId="1" fillId="0" borderId="10" xfId="0" applyNumberFormat="1" applyFont="1" applyBorder="1" applyAlignment="1">
      <alignment horizontal="justify" vertical="top" wrapText="1"/>
    </xf>
    <xf numFmtId="0" fontId="25" fillId="0" borderId="9" xfId="0" applyFont="1" applyBorder="1" applyAlignment="1">
      <alignment horizontal="justify" vertical="top" wrapText="1"/>
    </xf>
    <xf numFmtId="0" fontId="1" fillId="0" borderId="10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25" fillId="0" borderId="1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Border="1"/>
    <xf numFmtId="2" fontId="1" fillId="0" borderId="1" xfId="0" applyNumberFormat="1" applyFont="1" applyBorder="1"/>
    <xf numFmtId="0" fontId="1" fillId="0" borderId="1" xfId="0" applyFont="1" applyBorder="1" applyAlignment="1">
      <alignment wrapText="1"/>
    </xf>
    <xf numFmtId="2" fontId="1" fillId="0" borderId="1" xfId="0" applyNumberFormat="1" applyFont="1" applyBorder="1" applyAlignment="1">
      <alignment wrapText="1"/>
    </xf>
    <xf numFmtId="2" fontId="1" fillId="0" borderId="0" xfId="0" applyNumberFormat="1" applyFont="1"/>
    <xf numFmtId="2" fontId="0" fillId="0" borderId="0" xfId="0" applyNumberFormat="1"/>
    <xf numFmtId="0" fontId="1" fillId="11" borderId="9" xfId="0" applyFont="1" applyFill="1" applyBorder="1" applyAlignment="1">
      <alignment horizontal="justify" vertical="top" wrapText="1"/>
    </xf>
    <xf numFmtId="0" fontId="1" fillId="0" borderId="3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2" fontId="7" fillId="0" borderId="8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41" fillId="0" borderId="0" xfId="0" applyFont="1"/>
    <xf numFmtId="0" fontId="41" fillId="0" borderId="1" xfId="0" applyFont="1" applyBorder="1"/>
    <xf numFmtId="2" fontId="10" fillId="0" borderId="1" xfId="0" applyNumberFormat="1" applyFont="1" applyFill="1" applyBorder="1" applyAlignment="1">
      <alignment horizontal="center" vertical="center" wrapText="1"/>
    </xf>
    <xf numFmtId="2" fontId="7" fillId="0" borderId="0" xfId="0" applyNumberFormat="1" applyFont="1" applyAlignment="1">
      <alignment horizontal="center" vertical="center" wrapText="1"/>
    </xf>
    <xf numFmtId="4" fontId="0" fillId="0" borderId="0" xfId="0" applyNumberFormat="1"/>
    <xf numFmtId="0" fontId="1" fillId="0" borderId="3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center"/>
    </xf>
    <xf numFmtId="2" fontId="1" fillId="0" borderId="3" xfId="0" applyNumberFormat="1" applyFont="1" applyBorder="1" applyAlignment="1">
      <alignment horizontal="right" vertical="top" wrapText="1"/>
    </xf>
    <xf numFmtId="2" fontId="1" fillId="0" borderId="5" xfId="0" applyNumberFormat="1" applyFont="1" applyBorder="1" applyAlignment="1">
      <alignment horizontal="right" vertical="top" wrapText="1"/>
    </xf>
    <xf numFmtId="2" fontId="1" fillId="0" borderId="4" xfId="0" applyNumberFormat="1" applyFont="1" applyBorder="1" applyAlignment="1">
      <alignment horizontal="right" vertical="top" wrapText="1"/>
    </xf>
    <xf numFmtId="2" fontId="1" fillId="0" borderId="1" xfId="0" applyNumberFormat="1" applyFont="1" applyBorder="1" applyAlignment="1">
      <alignment horizontal="right" vertical="top" wrapText="1"/>
    </xf>
    <xf numFmtId="0" fontId="1" fillId="0" borderId="0" xfId="0" applyFont="1" applyBorder="1" applyAlignment="1">
      <alignment horizontal="center" vertical="center"/>
    </xf>
    <xf numFmtId="2" fontId="7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14" fontId="1" fillId="0" borderId="0" xfId="0" applyNumberFormat="1" applyFont="1" applyBorder="1" applyAlignment="1">
      <alignment horizontal="center" vertical="center" wrapText="1"/>
    </xf>
    <xf numFmtId="43" fontId="1" fillId="0" borderId="0" xfId="17" applyFont="1" applyBorder="1" applyAlignment="1">
      <alignment horizontal="center" vertical="center" wrapText="1"/>
    </xf>
    <xf numFmtId="166" fontId="1" fillId="0" borderId="0" xfId="0" applyNumberFormat="1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2" fontId="1" fillId="5" borderId="0" xfId="1" applyNumberFormat="1" applyFont="1" applyFill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wrapText="1"/>
    </xf>
    <xf numFmtId="0" fontId="41" fillId="0" borderId="0" xfId="0" applyFont="1" applyAlignment="1"/>
    <xf numFmtId="0" fontId="2" fillId="0" borderId="0" xfId="0" applyFont="1"/>
    <xf numFmtId="0" fontId="2" fillId="0" borderId="0" xfId="0" applyFont="1" applyAlignment="1">
      <alignment horizontal="justify"/>
    </xf>
    <xf numFmtId="6" fontId="2" fillId="0" borderId="0" xfId="0" applyNumberFormat="1" applyFont="1"/>
    <xf numFmtId="2" fontId="2" fillId="0" borderId="0" xfId="0" applyNumberFormat="1" applyFont="1"/>
    <xf numFmtId="166" fontId="1" fillId="0" borderId="3" xfId="0" applyNumberFormat="1" applyFont="1" applyBorder="1" applyAlignment="1">
      <alignment horizontal="justify" vertical="top" wrapText="1"/>
    </xf>
    <xf numFmtId="166" fontId="1" fillId="0" borderId="9" xfId="0" applyNumberFormat="1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/>
    </xf>
    <xf numFmtId="166" fontId="41" fillId="0" borderId="1" xfId="0" applyNumberFormat="1" applyFont="1" applyBorder="1"/>
    <xf numFmtId="2" fontId="41" fillId="0" borderId="1" xfId="0" applyNumberFormat="1" applyFont="1" applyBorder="1" applyAlignment="1">
      <alignment horizontal="right"/>
    </xf>
    <xf numFmtId="0" fontId="41" fillId="0" borderId="1" xfId="0" applyFont="1" applyBorder="1" applyAlignment="1">
      <alignment wrapText="1"/>
    </xf>
    <xf numFmtId="2" fontId="41" fillId="0" borderId="1" xfId="0" applyNumberFormat="1" applyFont="1" applyBorder="1" applyAlignment="1">
      <alignment wrapText="1"/>
    </xf>
    <xf numFmtId="0" fontId="9" fillId="11" borderId="0" xfId="0" applyFont="1" applyFill="1" applyAlignment="1">
      <alignment horizontal="center" vertical="center" wrapText="1"/>
    </xf>
    <xf numFmtId="6" fontId="1" fillId="0" borderId="0" xfId="0" applyNumberFormat="1" applyFont="1"/>
    <xf numFmtId="166" fontId="1" fillId="0" borderId="1" xfId="0" applyNumberFormat="1" applyFont="1" applyBorder="1" applyAlignment="1">
      <alignment horizontal="justify" vertical="top" wrapText="1"/>
    </xf>
    <xf numFmtId="2" fontId="1" fillId="0" borderId="1" xfId="0" applyNumberFormat="1" applyFont="1" applyBorder="1" applyAlignment="1">
      <alignment horizontal="right"/>
    </xf>
    <xf numFmtId="0" fontId="37" fillId="0" borderId="1" xfId="0" applyFont="1" applyBorder="1" applyAlignment="1">
      <alignment wrapText="1"/>
    </xf>
    <xf numFmtId="2" fontId="37" fillId="0" borderId="1" xfId="0" applyNumberFormat="1" applyFont="1" applyBorder="1" applyAlignment="1">
      <alignment wrapText="1"/>
    </xf>
    <xf numFmtId="0" fontId="7" fillId="0" borderId="0" xfId="0" applyFont="1" applyAlignment="1">
      <alignment horizontal="center" wrapText="1"/>
    </xf>
    <xf numFmtId="0" fontId="6" fillId="0" borderId="24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2" fontId="9" fillId="0" borderId="0" xfId="0" applyNumberFormat="1" applyFont="1" applyAlignment="1">
      <alignment horizontal="center" vertical="center" wrapText="1"/>
    </xf>
    <xf numFmtId="4" fontId="10" fillId="7" borderId="26" xfId="0" applyNumberFormat="1" applyFont="1" applyFill="1" applyBorder="1" applyAlignment="1">
      <alignment horizontal="center" vertical="center" wrapText="1"/>
    </xf>
    <xf numFmtId="4" fontId="10" fillId="8" borderId="14" xfId="0" applyNumberFormat="1" applyFont="1" applyFill="1" applyBorder="1" applyAlignment="1">
      <alignment horizontal="center" vertical="center" wrapText="1"/>
    </xf>
    <xf numFmtId="2" fontId="6" fillId="0" borderId="15" xfId="0" applyNumberFormat="1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 wrapText="1"/>
    </xf>
    <xf numFmtId="0" fontId="42" fillId="0" borderId="26" xfId="0" applyFont="1" applyBorder="1"/>
    <xf numFmtId="0" fontId="42" fillId="0" borderId="15" xfId="0" applyFont="1" applyBorder="1"/>
    <xf numFmtId="0" fontId="42" fillId="0" borderId="16" xfId="0" applyFont="1" applyBorder="1"/>
    <xf numFmtId="0" fontId="42" fillId="0" borderId="28" xfId="0" applyFont="1" applyBorder="1"/>
    <xf numFmtId="0" fontId="42" fillId="0" borderId="24" xfId="0" applyFont="1" applyBorder="1" applyAlignment="1">
      <alignment horizontal="center" vertical="center"/>
    </xf>
    <xf numFmtId="0" fontId="42" fillId="0" borderId="14" xfId="0" applyFont="1" applyBorder="1" applyAlignment="1">
      <alignment horizontal="center" vertical="center"/>
    </xf>
    <xf numFmtId="0" fontId="42" fillId="0" borderId="29" xfId="0" applyFont="1" applyBorder="1" applyAlignment="1">
      <alignment horizontal="center" vertical="center"/>
    </xf>
    <xf numFmtId="0" fontId="42" fillId="0" borderId="1" xfId="0" applyFont="1" applyBorder="1"/>
    <xf numFmtId="0" fontId="42" fillId="0" borderId="3" xfId="0" applyFont="1" applyBorder="1"/>
    <xf numFmtId="0" fontId="42" fillId="0" borderId="0" xfId="0" applyFont="1" applyBorder="1"/>
    <xf numFmtId="0" fontId="42" fillId="0" borderId="30" xfId="0" applyFont="1" applyBorder="1"/>
    <xf numFmtId="0" fontId="7" fillId="0" borderId="2" xfId="0" applyFont="1" applyBorder="1" applyAlignment="1">
      <alignment horizontal="center" vertical="center"/>
    </xf>
    <xf numFmtId="2" fontId="42" fillId="0" borderId="1" xfId="0" applyNumberFormat="1" applyFont="1" applyBorder="1"/>
    <xf numFmtId="2" fontId="42" fillId="0" borderId="31" xfId="0" applyNumberFormat="1" applyFont="1" applyBorder="1"/>
    <xf numFmtId="0" fontId="1" fillId="0" borderId="2" xfId="0" applyFont="1" applyBorder="1" applyAlignment="1">
      <alignment horizontal="center" vertical="center" wrapText="1"/>
    </xf>
    <xf numFmtId="4" fontId="10" fillId="12" borderId="0" xfId="0" applyNumberFormat="1" applyFont="1" applyFill="1" applyAlignment="1">
      <alignment horizontal="center" vertical="center" wrapText="1"/>
    </xf>
    <xf numFmtId="167" fontId="7" fillId="0" borderId="1" xfId="0" applyNumberFormat="1" applyFont="1" applyBorder="1" applyAlignment="1">
      <alignment horizontal="center" vertical="center"/>
    </xf>
    <xf numFmtId="167" fontId="7" fillId="0" borderId="1" xfId="0" applyNumberFormat="1" applyFont="1" applyBorder="1" applyAlignment="1">
      <alignment horizontal="center" vertical="center" wrapText="1"/>
    </xf>
    <xf numFmtId="167" fontId="1" fillId="0" borderId="1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7" fillId="0" borderId="12" xfId="0" applyNumberFormat="1" applyFont="1" applyBorder="1" applyAlignment="1">
      <alignment horizontal="center" vertical="center"/>
    </xf>
    <xf numFmtId="0" fontId="40" fillId="0" borderId="2" xfId="0" applyFont="1" applyBorder="1" applyAlignment="1">
      <alignment horizontal="center"/>
    </xf>
    <xf numFmtId="0" fontId="40" fillId="0" borderId="1" xfId="0" applyFont="1" applyBorder="1" applyAlignment="1">
      <alignment horizontal="center"/>
    </xf>
    <xf numFmtId="0" fontId="41" fillId="0" borderId="1" xfId="0" applyFont="1" applyBorder="1" applyAlignment="1">
      <alignment horizontal="center"/>
    </xf>
    <xf numFmtId="0" fontId="1" fillId="0" borderId="1" xfId="9" applyFont="1" applyBorder="1" applyAlignment="1">
      <alignment horizontal="center" vertical="center" wrapText="1"/>
    </xf>
    <xf numFmtId="2" fontId="40" fillId="0" borderId="1" xfId="0" applyNumberFormat="1" applyFont="1" applyBorder="1" applyAlignment="1">
      <alignment horizontal="center"/>
    </xf>
    <xf numFmtId="171" fontId="7" fillId="0" borderId="1" xfId="0" applyNumberFormat="1" applyFont="1" applyBorder="1" applyAlignment="1">
      <alignment horizontal="center" vertical="center"/>
    </xf>
    <xf numFmtId="171" fontId="7" fillId="0" borderId="0" xfId="0" applyNumberFormat="1" applyFont="1" applyAlignment="1">
      <alignment horizontal="center" vertical="center"/>
    </xf>
    <xf numFmtId="2" fontId="40" fillId="0" borderId="2" xfId="0" applyNumberFormat="1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42" fillId="0" borderId="30" xfId="0" applyFont="1" applyBorder="1" applyAlignment="1">
      <alignment horizontal="center" vertical="center"/>
    </xf>
    <xf numFmtId="0" fontId="29" fillId="0" borderId="0" xfId="20" applyFont="1" applyAlignment="1">
      <alignment horizontal="right" vertical="top"/>
    </xf>
    <xf numFmtId="0" fontId="1" fillId="0" borderId="0" xfId="20" applyFont="1" applyAlignment="1">
      <alignment horizontal="center" vertical="top"/>
    </xf>
    <xf numFmtId="49" fontId="1" fillId="0" borderId="0" xfId="20" applyNumberFormat="1" applyFont="1" applyAlignment="1">
      <alignment horizontal="left" vertical="top"/>
    </xf>
    <xf numFmtId="0" fontId="1" fillId="0" borderId="0" xfId="20" applyFont="1" applyAlignment="1">
      <alignment horizontal="left" vertical="top" wrapText="1"/>
    </xf>
    <xf numFmtId="0" fontId="1" fillId="0" borderId="0" xfId="20" applyFont="1" applyAlignment="1">
      <alignment horizontal="center" vertical="top" wrapText="1"/>
    </xf>
    <xf numFmtId="0" fontId="1" fillId="0" borderId="0" xfId="20" applyFont="1"/>
    <xf numFmtId="0" fontId="1" fillId="0" borderId="0" xfId="20" applyFont="1" applyAlignment="1">
      <alignment horizontal="right" vertical="top"/>
    </xf>
    <xf numFmtId="0" fontId="12" fillId="0" borderId="0" xfId="20" applyFont="1" applyAlignment="1">
      <alignment horizontal="center" vertical="top"/>
    </xf>
    <xf numFmtId="0" fontId="1" fillId="0" borderId="0" xfId="20" applyFont="1" applyAlignment="1">
      <alignment horizontal="right" vertical="top" wrapText="1"/>
    </xf>
    <xf numFmtId="0" fontId="1" fillId="0" borderId="11" xfId="20" applyFont="1" applyBorder="1" applyAlignment="1">
      <alignment horizontal="left" vertical="top"/>
    </xf>
    <xf numFmtId="0" fontId="1" fillId="0" borderId="0" xfId="20" applyFont="1" applyAlignment="1">
      <alignment horizontal="left"/>
    </xf>
    <xf numFmtId="0" fontId="1" fillId="0" borderId="11" xfId="20" applyFont="1" applyBorder="1" applyAlignment="1">
      <alignment horizontal="right" vertical="top"/>
    </xf>
    <xf numFmtId="0" fontId="1" fillId="0" borderId="32" xfId="20" applyFont="1" applyBorder="1"/>
    <xf numFmtId="0" fontId="1" fillId="0" borderId="32" xfId="20" applyFont="1" applyBorder="1" applyAlignment="1">
      <alignment horizontal="right" vertical="top"/>
    </xf>
    <xf numFmtId="0" fontId="32" fillId="0" borderId="32" xfId="20" applyFont="1" applyBorder="1" applyAlignment="1">
      <alignment horizontal="center" vertical="top"/>
    </xf>
    <xf numFmtId="0" fontId="1" fillId="0" borderId="0" xfId="20" applyFont="1" applyBorder="1" applyAlignment="1">
      <alignment horizontal="right" vertical="top"/>
    </xf>
    <xf numFmtId="0" fontId="32" fillId="0" borderId="0" xfId="20" applyFont="1" applyAlignment="1">
      <alignment horizontal="center" vertical="top"/>
    </xf>
    <xf numFmtId="49" fontId="32" fillId="0" borderId="0" xfId="20" applyNumberFormat="1" applyFont="1" applyAlignment="1">
      <alignment horizontal="left" vertical="top"/>
    </xf>
    <xf numFmtId="0" fontId="1" fillId="0" borderId="0" xfId="20" applyFont="1" applyAlignment="1">
      <alignment horizontal="left" vertical="top"/>
    </xf>
    <xf numFmtId="0" fontId="1" fillId="0" borderId="0" xfId="20" applyFont="1" applyAlignment="1"/>
    <xf numFmtId="0" fontId="6" fillId="0" borderId="1" xfId="20" applyFont="1" applyBorder="1" applyAlignment="1">
      <alignment horizontal="center" vertical="center" wrapText="1"/>
    </xf>
    <xf numFmtId="0" fontId="6" fillId="0" borderId="1" xfId="20" applyFont="1" applyBorder="1" applyAlignment="1">
      <alignment horizontal="center" vertical="top"/>
    </xf>
    <xf numFmtId="49" fontId="6" fillId="0" borderId="1" xfId="20" applyNumberFormat="1" applyFont="1" applyBorder="1" applyAlignment="1">
      <alignment horizontal="center" vertical="center"/>
    </xf>
    <xf numFmtId="0" fontId="6" fillId="0" borderId="1" xfId="20" applyFont="1" applyBorder="1" applyAlignment="1">
      <alignment horizontal="center" vertical="center"/>
    </xf>
    <xf numFmtId="49" fontId="33" fillId="0" borderId="1" xfId="20" applyNumberFormat="1" applyFont="1" applyBorder="1" applyAlignment="1">
      <alignment horizontal="left" vertical="top" wrapText="1"/>
    </xf>
    <xf numFmtId="0" fontId="6" fillId="0" borderId="1" xfId="20" applyFont="1" applyBorder="1" applyAlignment="1">
      <alignment horizontal="left" vertical="top" wrapText="1"/>
    </xf>
    <xf numFmtId="0" fontId="6" fillId="0" borderId="1" xfId="20" applyFont="1" applyBorder="1" applyAlignment="1">
      <alignment horizontal="center" vertical="top" wrapText="1"/>
    </xf>
    <xf numFmtId="0" fontId="8" fillId="0" borderId="1" xfId="20" applyFont="1" applyBorder="1" applyAlignment="1">
      <alignment horizontal="center" vertical="top" wrapText="1"/>
    </xf>
    <xf numFmtId="0" fontId="34" fillId="0" borderId="1" xfId="20" applyFont="1" applyBorder="1" applyAlignment="1">
      <alignment horizontal="right" vertical="top"/>
    </xf>
    <xf numFmtId="0" fontId="35" fillId="0" borderId="1" xfId="20" applyFont="1" applyBorder="1" applyAlignment="1">
      <alignment horizontal="right" vertical="top" wrapText="1"/>
    </xf>
    <xf numFmtId="0" fontId="34" fillId="0" borderId="1" xfId="20" applyFont="1" applyBorder="1" applyAlignment="1">
      <alignment horizontal="right" vertical="top" wrapText="1"/>
    </xf>
    <xf numFmtId="0" fontId="33" fillId="0" borderId="0" xfId="20" applyFont="1" applyBorder="1" applyAlignment="1">
      <alignment horizontal="left" vertical="top" wrapText="1"/>
    </xf>
    <xf numFmtId="0" fontId="1" fillId="0" borderId="0" xfId="20" applyFont="1" applyBorder="1" applyAlignment="1">
      <alignment vertical="top" wrapText="1"/>
    </xf>
    <xf numFmtId="0" fontId="35" fillId="0" borderId="0" xfId="20" applyFont="1" applyBorder="1" applyAlignment="1">
      <alignment horizontal="right" vertical="top" wrapText="1"/>
    </xf>
    <xf numFmtId="0" fontId="34" fillId="0" borderId="0" xfId="20" applyFont="1" applyBorder="1" applyAlignment="1">
      <alignment horizontal="right" vertical="top"/>
    </xf>
    <xf numFmtId="0" fontId="34" fillId="0" borderId="0" xfId="20" applyFont="1" applyAlignment="1">
      <alignment horizontal="right" vertical="top"/>
    </xf>
    <xf numFmtId="0" fontId="2" fillId="0" borderId="0" xfId="20" applyFont="1" applyAlignment="1">
      <alignment horizontal="right" vertical="top"/>
    </xf>
    <xf numFmtId="0" fontId="1" fillId="0" borderId="0" xfId="21" applyFont="1" applyAlignment="1">
      <alignment horizontal="left" vertical="top" wrapText="1"/>
    </xf>
    <xf numFmtId="0" fontId="1" fillId="0" borderId="0" xfId="21" applyFont="1" applyAlignment="1">
      <alignment horizontal="center" vertical="top" wrapText="1"/>
    </xf>
    <xf numFmtId="0" fontId="1" fillId="0" borderId="0" xfId="21" applyFont="1" applyAlignment="1">
      <alignment horizontal="center" vertical="top"/>
    </xf>
    <xf numFmtId="0" fontId="1" fillId="0" borderId="0" xfId="21" applyFont="1" applyAlignment="1">
      <alignment horizontal="right" vertical="top"/>
    </xf>
    <xf numFmtId="49" fontId="1" fillId="0" borderId="0" xfId="21" applyNumberFormat="1" applyFont="1" applyAlignment="1">
      <alignment horizontal="left" vertical="top"/>
    </xf>
    <xf numFmtId="49" fontId="6" fillId="0" borderId="0" xfId="22" applyNumberFormat="1" applyFont="1" applyAlignment="1">
      <alignment horizontal="left" vertical="top"/>
    </xf>
    <xf numFmtId="0" fontId="8" fillId="0" borderId="0" xfId="22" applyFont="1" applyAlignment="1">
      <alignment horizontal="right" vertical="top"/>
    </xf>
    <xf numFmtId="0" fontId="6" fillId="0" borderId="0" xfId="22" applyFont="1" applyAlignment="1">
      <alignment horizontal="center" vertical="top"/>
    </xf>
    <xf numFmtId="0" fontId="6" fillId="0" borderId="0" xfId="22" applyFont="1" applyAlignment="1">
      <alignment horizontal="left" vertical="top" wrapText="1"/>
    </xf>
    <xf numFmtId="0" fontId="6" fillId="0" borderId="0" xfId="22" applyFont="1" applyAlignment="1">
      <alignment horizontal="center" vertical="top" wrapText="1"/>
    </xf>
    <xf numFmtId="0" fontId="8" fillId="0" borderId="0" xfId="22" applyFont="1" applyAlignment="1">
      <alignment horizontal="center" vertical="top"/>
    </xf>
    <xf numFmtId="0" fontId="34" fillId="0" borderId="1" xfId="23" applyFont="1" applyBorder="1" applyAlignment="1">
      <alignment horizontal="right" vertical="top"/>
    </xf>
    <xf numFmtId="0" fontId="34" fillId="0" borderId="1" xfId="23" applyFont="1" applyBorder="1" applyAlignment="1">
      <alignment horizontal="right" vertical="top" wrapText="1"/>
    </xf>
    <xf numFmtId="0" fontId="0" fillId="0" borderId="0" xfId="0" applyFont="1" applyAlignment="1">
      <alignment horizontal="left"/>
    </xf>
    <xf numFmtId="4" fontId="10" fillId="7" borderId="14" xfId="0" applyNumberFormat="1" applyFont="1" applyFill="1" applyBorder="1" applyAlignment="1">
      <alignment horizontal="center" vertical="center" wrapText="1"/>
    </xf>
    <xf numFmtId="4" fontId="10" fillId="11" borderId="6" xfId="0" applyNumberFormat="1" applyFont="1" applyFill="1" applyBorder="1" applyAlignment="1">
      <alignment horizontal="center" vertical="center" wrapText="1"/>
    </xf>
    <xf numFmtId="2" fontId="10" fillId="0" borderId="3" xfId="0" applyNumberFormat="1" applyFont="1" applyFill="1" applyBorder="1" applyAlignment="1">
      <alignment horizontal="center" vertical="center" wrapText="1"/>
    </xf>
    <xf numFmtId="4" fontId="42" fillId="7" borderId="14" xfId="0" applyNumberFormat="1" applyFont="1" applyFill="1" applyBorder="1" applyAlignment="1">
      <alignment horizontal="center" vertical="center" wrapText="1"/>
    </xf>
    <xf numFmtId="173" fontId="10" fillId="8" borderId="14" xfId="0" applyNumberFormat="1" applyFont="1" applyFill="1" applyBorder="1" applyAlignment="1">
      <alignment horizontal="center" vertical="center" wrapText="1"/>
    </xf>
    <xf numFmtId="172" fontId="10" fillId="8" borderId="14" xfId="0" applyNumberFormat="1" applyFont="1" applyFill="1" applyBorder="1" applyAlignment="1">
      <alignment horizontal="center" vertical="center" wrapText="1"/>
    </xf>
    <xf numFmtId="174" fontId="10" fillId="8" borderId="14" xfId="0" applyNumberFormat="1" applyFont="1" applyFill="1" applyBorder="1" applyAlignment="1">
      <alignment horizontal="center" vertical="center" wrapText="1"/>
    </xf>
    <xf numFmtId="0" fontId="42" fillId="8" borderId="14" xfId="0" applyFont="1" applyFill="1" applyBorder="1"/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1" fillId="0" borderId="1" xfId="2" applyFont="1" applyBorder="1" applyAlignment="1">
      <alignment wrapText="1"/>
    </xf>
    <xf numFmtId="0" fontId="1" fillId="0" borderId="5" xfId="0" applyFont="1" applyBorder="1" applyAlignment="1">
      <alignment horizontal="left" vertical="top" wrapText="1"/>
    </xf>
    <xf numFmtId="0" fontId="43" fillId="11" borderId="1" xfId="0" applyFont="1" applyFill="1" applyBorder="1" applyAlignment="1">
      <alignment horizontal="center" vertical="center"/>
    </xf>
    <xf numFmtId="0" fontId="40" fillId="0" borderId="1" xfId="0" applyFont="1" applyBorder="1" applyAlignment="1">
      <alignment vertical="center"/>
    </xf>
    <xf numFmtId="0" fontId="40" fillId="0" borderId="1" xfId="0" applyFont="1" applyBorder="1" applyAlignment="1">
      <alignment horizontal="center" vertical="center"/>
    </xf>
    <xf numFmtId="0" fontId="36" fillId="0" borderId="0" xfId="0" applyFont="1"/>
    <xf numFmtId="0" fontId="0" fillId="13" borderId="0" xfId="0" applyFill="1"/>
    <xf numFmtId="0" fontId="43" fillId="0" borderId="11" xfId="0" applyFont="1" applyBorder="1" applyAlignment="1">
      <alignment horizontal="center" vertical="center"/>
    </xf>
    <xf numFmtId="0" fontId="43" fillId="0" borderId="5" xfId="0" applyFont="1" applyBorder="1" applyAlignment="1">
      <alignment horizontal="center" vertical="center"/>
    </xf>
    <xf numFmtId="0" fontId="40" fillId="14" borderId="11" xfId="0" applyFont="1" applyFill="1" applyBorder="1" applyAlignment="1">
      <alignment horizontal="center" vertical="center"/>
    </xf>
    <xf numFmtId="0" fontId="40" fillId="0" borderId="5" xfId="0" applyFont="1" applyBorder="1" applyAlignment="1">
      <alignment horizontal="center" vertical="center"/>
    </xf>
    <xf numFmtId="0" fontId="40" fillId="0" borderId="0" xfId="0" applyFont="1"/>
    <xf numFmtId="0" fontId="40" fillId="0" borderId="1" xfId="0" applyFont="1" applyBorder="1"/>
    <xf numFmtId="0" fontId="40" fillId="0" borderId="1" xfId="0" applyFont="1" applyBorder="1" applyAlignment="1">
      <alignment horizontal="center" vertical="center" wrapText="1"/>
    </xf>
    <xf numFmtId="0" fontId="43" fillId="0" borderId="4" xfId="0" applyFont="1" applyBorder="1" applyAlignment="1">
      <alignment horizontal="center" vertical="center"/>
    </xf>
    <xf numFmtId="0" fontId="40" fillId="0" borderId="2" xfId="0" applyFont="1" applyBorder="1" applyAlignment="1">
      <alignment horizontal="center" vertical="center"/>
    </xf>
    <xf numFmtId="0" fontId="40" fillId="0" borderId="2" xfId="0" applyFont="1" applyBorder="1" applyAlignment="1">
      <alignment vertical="center"/>
    </xf>
    <xf numFmtId="0" fontId="40" fillId="0" borderId="2" xfId="0" applyFont="1" applyBorder="1"/>
    <xf numFmtId="0" fontId="40" fillId="0" borderId="10" xfId="0" applyFont="1" applyBorder="1" applyAlignment="1">
      <alignment horizontal="center"/>
    </xf>
    <xf numFmtId="0" fontId="40" fillId="0" borderId="7" xfId="0" applyFont="1" applyBorder="1"/>
    <xf numFmtId="2" fontId="40" fillId="0" borderId="7" xfId="0" applyNumberFormat="1" applyFont="1" applyBorder="1" applyAlignment="1">
      <alignment horizontal="center"/>
    </xf>
    <xf numFmtId="0" fontId="43" fillId="0" borderId="18" xfId="0" applyFont="1" applyBorder="1" applyAlignment="1">
      <alignment horizontal="center" vertical="center"/>
    </xf>
    <xf numFmtId="0" fontId="43" fillId="0" borderId="42" xfId="0" applyFont="1" applyBorder="1" applyAlignment="1">
      <alignment horizontal="center"/>
    </xf>
    <xf numFmtId="2" fontId="43" fillId="0" borderId="42" xfId="0" applyNumberFormat="1" applyFont="1" applyBorder="1" applyAlignment="1">
      <alignment horizontal="center"/>
    </xf>
    <xf numFmtId="0" fontId="43" fillId="0" borderId="18" xfId="0" applyFont="1" applyBorder="1"/>
    <xf numFmtId="0" fontId="43" fillId="0" borderId="42" xfId="0" applyFont="1" applyBorder="1"/>
    <xf numFmtId="2" fontId="43" fillId="0" borderId="43" xfId="0" applyNumberFormat="1" applyFont="1" applyBorder="1" applyAlignment="1">
      <alignment horizontal="center"/>
    </xf>
    <xf numFmtId="2" fontId="40" fillId="0" borderId="8" xfId="0" applyNumberFormat="1" applyFont="1" applyBorder="1" applyAlignment="1">
      <alignment horizontal="center"/>
    </xf>
    <xf numFmtId="2" fontId="40" fillId="0" borderId="3" xfId="0" applyNumberFormat="1" applyFont="1" applyBorder="1" applyAlignment="1">
      <alignment horizontal="center"/>
    </xf>
    <xf numFmtId="2" fontId="40" fillId="0" borderId="12" xfId="0" applyNumberFormat="1" applyFont="1" applyBorder="1" applyAlignment="1">
      <alignment horizontal="center"/>
    </xf>
    <xf numFmtId="2" fontId="40" fillId="0" borderId="42" xfId="0" applyNumberFormat="1" applyFont="1" applyBorder="1" applyAlignment="1">
      <alignment horizontal="center" vertical="center"/>
    </xf>
    <xf numFmtId="2" fontId="45" fillId="0" borderId="0" xfId="0" applyNumberFormat="1" applyFont="1"/>
    <xf numFmtId="0" fontId="40" fillId="0" borderId="36" xfId="0" applyFont="1" applyBorder="1"/>
    <xf numFmtId="2" fontId="43" fillId="0" borderId="44" xfId="0" applyNumberFormat="1" applyFont="1" applyBorder="1"/>
    <xf numFmtId="2" fontId="43" fillId="0" borderId="14" xfId="0" applyNumberFormat="1" applyFont="1" applyBorder="1" applyAlignment="1">
      <alignment horizontal="center"/>
    </xf>
    <xf numFmtId="0" fontId="40" fillId="0" borderId="5" xfId="0" applyFont="1" applyBorder="1" applyAlignment="1">
      <alignment horizontal="center"/>
    </xf>
    <xf numFmtId="0" fontId="43" fillId="0" borderId="13" xfId="0" applyFont="1" applyBorder="1" applyAlignment="1">
      <alignment horizontal="center" vertical="center"/>
    </xf>
    <xf numFmtId="4" fontId="22" fillId="0" borderId="14" xfId="0" applyNumberFormat="1" applyFont="1" applyFill="1" applyBorder="1" applyAlignment="1">
      <alignment horizontal="center" vertical="center"/>
    </xf>
    <xf numFmtId="4" fontId="22" fillId="0" borderId="29" xfId="0" applyNumberFormat="1" applyFont="1" applyFill="1" applyBorder="1" applyAlignment="1">
      <alignment horizontal="center" vertical="center"/>
    </xf>
    <xf numFmtId="4" fontId="22" fillId="0" borderId="15" xfId="0" applyNumberFormat="1" applyFont="1" applyFill="1" applyBorder="1" applyAlignment="1">
      <alignment horizontal="center" vertical="center"/>
    </xf>
    <xf numFmtId="4" fontId="22" fillId="0" borderId="26" xfId="0" applyNumberFormat="1" applyFont="1" applyFill="1" applyBorder="1" applyAlignment="1">
      <alignment horizontal="center" vertical="center"/>
    </xf>
    <xf numFmtId="4" fontId="22" fillId="0" borderId="14" xfId="0" applyNumberFormat="1" applyFont="1" applyFill="1" applyBorder="1" applyAlignment="1">
      <alignment horizontal="center" vertical="center" wrapText="1"/>
    </xf>
    <xf numFmtId="0" fontId="43" fillId="0" borderId="41" xfId="0" applyFont="1" applyBorder="1" applyAlignment="1">
      <alignment horizontal="center" vertical="center"/>
    </xf>
    <xf numFmtId="0" fontId="43" fillId="0" borderId="41" xfId="0" applyFont="1" applyBorder="1" applyAlignment="1">
      <alignment horizontal="center"/>
    </xf>
    <xf numFmtId="0" fontId="40" fillId="0" borderId="3" xfId="0" applyFont="1" applyBorder="1" applyAlignment="1">
      <alignment horizontal="center"/>
    </xf>
    <xf numFmtId="0" fontId="40" fillId="0" borderId="12" xfId="0" applyFont="1" applyBorder="1"/>
    <xf numFmtId="2" fontId="40" fillId="0" borderId="43" xfId="0" applyNumberFormat="1" applyFont="1" applyBorder="1" applyAlignment="1">
      <alignment horizontal="center" vertical="center"/>
    </xf>
    <xf numFmtId="0" fontId="43" fillId="0" borderId="5" xfId="0" applyFont="1" applyBorder="1" applyAlignment="1">
      <alignment horizontal="center"/>
    </xf>
    <xf numFmtId="2" fontId="43" fillId="0" borderId="41" xfId="0" applyNumberFormat="1" applyFont="1" applyBorder="1" applyAlignment="1">
      <alignment horizontal="center"/>
    </xf>
    <xf numFmtId="0" fontId="43" fillId="0" borderId="36" xfId="0" applyFont="1" applyBorder="1" applyAlignment="1">
      <alignment horizontal="center"/>
    </xf>
    <xf numFmtId="0" fontId="43" fillId="0" borderId="44" xfId="0" applyFont="1" applyBorder="1"/>
    <xf numFmtId="2" fontId="43" fillId="0" borderId="14" xfId="0" applyNumberFormat="1" applyFont="1" applyBorder="1" applyAlignment="1">
      <alignment horizontal="center" vertical="center"/>
    </xf>
    <xf numFmtId="2" fontId="43" fillId="0" borderId="44" xfId="0" applyNumberFormat="1" applyFont="1" applyBorder="1" applyAlignment="1">
      <alignment horizontal="center"/>
    </xf>
    <xf numFmtId="0" fontId="36" fillId="0" borderId="14" xfId="0" applyFont="1" applyBorder="1" applyAlignment="1">
      <alignment horizontal="center"/>
    </xf>
    <xf numFmtId="0" fontId="22" fillId="0" borderId="25" xfId="0" applyFont="1" applyFill="1" applyBorder="1" applyAlignment="1">
      <alignment horizontal="left" vertical="top" wrapText="1"/>
    </xf>
    <xf numFmtId="2" fontId="43" fillId="0" borderId="18" xfId="0" applyNumberFormat="1" applyFont="1" applyBorder="1" applyAlignment="1">
      <alignment horizontal="center"/>
    </xf>
    <xf numFmtId="0" fontId="51" fillId="0" borderId="36" xfId="0" applyFont="1" applyBorder="1" applyAlignment="1">
      <alignment horizontal="center" vertical="center"/>
    </xf>
    <xf numFmtId="0" fontId="51" fillId="0" borderId="36" xfId="0" applyFont="1" applyBorder="1" applyAlignment="1">
      <alignment horizontal="center" vertical="center" wrapText="1"/>
    </xf>
    <xf numFmtId="0" fontId="22" fillId="0" borderId="36" xfId="0" applyFont="1" applyFill="1" applyBorder="1" applyAlignment="1">
      <alignment horizontal="center" vertical="center" wrapText="1"/>
    </xf>
    <xf numFmtId="0" fontId="51" fillId="0" borderId="44" xfId="0" applyFont="1" applyBorder="1" applyAlignment="1">
      <alignment horizontal="center" vertical="center"/>
    </xf>
    <xf numFmtId="0" fontId="51" fillId="0" borderId="37" xfId="0" applyFont="1" applyBorder="1" applyAlignment="1">
      <alignment horizontal="center" vertical="center"/>
    </xf>
    <xf numFmtId="0" fontId="51" fillId="0" borderId="37" xfId="0" applyFont="1" applyBorder="1" applyAlignment="1">
      <alignment horizontal="center" vertical="center" wrapText="1"/>
    </xf>
    <xf numFmtId="0" fontId="22" fillId="0" borderId="37" xfId="0" applyFont="1" applyFill="1" applyBorder="1" applyAlignment="1">
      <alignment horizontal="center" vertical="center" wrapText="1"/>
    </xf>
    <xf numFmtId="0" fontId="51" fillId="0" borderId="45" xfId="0" applyFont="1" applyBorder="1" applyAlignment="1">
      <alignment horizontal="center" vertical="center"/>
    </xf>
    <xf numFmtId="2" fontId="43" fillId="0" borderId="16" xfId="0" applyNumberFormat="1" applyFont="1" applyBorder="1" applyAlignment="1">
      <alignment horizontal="center" vertical="center"/>
    </xf>
    <xf numFmtId="2" fontId="43" fillId="0" borderId="16" xfId="0" applyNumberFormat="1" applyFont="1" applyBorder="1" applyAlignment="1">
      <alignment horizontal="center"/>
    </xf>
    <xf numFmtId="0" fontId="40" fillId="0" borderId="13" xfId="0" applyFont="1" applyBorder="1"/>
    <xf numFmtId="2" fontId="40" fillId="0" borderId="41" xfId="0" applyNumberFormat="1" applyFont="1" applyBorder="1" applyAlignment="1">
      <alignment horizontal="center" vertical="center"/>
    </xf>
    <xf numFmtId="2" fontId="40" fillId="0" borderId="9" xfId="0" applyNumberFormat="1" applyFont="1" applyBorder="1" applyAlignment="1">
      <alignment horizontal="center"/>
    </xf>
    <xf numFmtId="2" fontId="40" fillId="0" borderId="5" xfId="0" applyNumberFormat="1" applyFont="1" applyBorder="1" applyAlignment="1">
      <alignment horizontal="center"/>
    </xf>
    <xf numFmtId="2" fontId="40" fillId="0" borderId="13" xfId="0" applyNumberFormat="1" applyFont="1" applyBorder="1" applyAlignment="1">
      <alignment horizontal="center"/>
    </xf>
    <xf numFmtId="0" fontId="40" fillId="0" borderId="3" xfId="0" applyFont="1" applyBorder="1" applyAlignment="1">
      <alignment horizontal="center" vertical="center"/>
    </xf>
    <xf numFmtId="0" fontId="40" fillId="0" borderId="3" xfId="0" applyFont="1" applyBorder="1" applyAlignment="1">
      <alignment vertical="center"/>
    </xf>
    <xf numFmtId="0" fontId="40" fillId="0" borderId="3" xfId="0" applyFont="1" applyBorder="1" applyAlignment="1">
      <alignment horizontal="center" vertical="center" wrapText="1"/>
    </xf>
    <xf numFmtId="0" fontId="40" fillId="0" borderId="12" xfId="0" applyFont="1" applyBorder="1" applyAlignment="1">
      <alignment vertical="center"/>
    </xf>
    <xf numFmtId="0" fontId="40" fillId="0" borderId="5" xfId="0" applyFont="1" applyBorder="1" applyAlignment="1">
      <alignment vertical="center"/>
    </xf>
    <xf numFmtId="0" fontId="40" fillId="0" borderId="13" xfId="0" applyFont="1" applyBorder="1" applyAlignment="1">
      <alignment vertical="center"/>
    </xf>
    <xf numFmtId="0" fontId="43" fillId="0" borderId="36" xfId="0" applyFont="1" applyBorder="1" applyAlignment="1">
      <alignment horizontal="center" vertical="center"/>
    </xf>
    <xf numFmtId="0" fontId="43" fillId="0" borderId="44" xfId="0" applyFont="1" applyBorder="1" applyAlignment="1">
      <alignment vertical="center"/>
    </xf>
    <xf numFmtId="0" fontId="40" fillId="0" borderId="5" xfId="0" applyFont="1" applyBorder="1" applyAlignment="1">
      <alignment horizontal="center" vertical="center" wrapText="1"/>
    </xf>
    <xf numFmtId="0" fontId="43" fillId="0" borderId="36" xfId="0" applyFont="1" applyBorder="1" applyAlignment="1">
      <alignment horizontal="center" vertical="center" wrapText="1"/>
    </xf>
    <xf numFmtId="0" fontId="43" fillId="13" borderId="3" xfId="0" applyFont="1" applyFill="1" applyBorder="1" applyAlignment="1">
      <alignment horizontal="center" vertical="center"/>
    </xf>
    <xf numFmtId="0" fontId="40" fillId="13" borderId="12" xfId="0" applyFont="1" applyFill="1" applyBorder="1" applyAlignment="1">
      <alignment horizontal="center"/>
    </xf>
    <xf numFmtId="0" fontId="43" fillId="13" borderId="4" xfId="0" applyFont="1" applyFill="1" applyBorder="1" applyAlignment="1">
      <alignment horizontal="center" vertical="center"/>
    </xf>
    <xf numFmtId="0" fontId="40" fillId="13" borderId="35" xfId="0" applyFont="1" applyFill="1" applyBorder="1" applyAlignment="1">
      <alignment horizontal="center"/>
    </xf>
    <xf numFmtId="2" fontId="43" fillId="13" borderId="18" xfId="0" applyNumberFormat="1" applyFont="1" applyFill="1" applyBorder="1" applyAlignment="1">
      <alignment horizontal="center"/>
    </xf>
    <xf numFmtId="2" fontId="40" fillId="13" borderId="10" xfId="0" applyNumberFormat="1" applyFont="1" applyFill="1" applyBorder="1" applyAlignment="1">
      <alignment horizontal="center"/>
    </xf>
    <xf numFmtId="2" fontId="40" fillId="13" borderId="4" xfId="0" applyNumberFormat="1" applyFont="1" applyFill="1" applyBorder="1" applyAlignment="1">
      <alignment horizontal="center"/>
    </xf>
    <xf numFmtId="2" fontId="40" fillId="13" borderId="35" xfId="0" applyNumberFormat="1" applyFont="1" applyFill="1" applyBorder="1" applyAlignment="1">
      <alignment horizontal="center"/>
    </xf>
    <xf numFmtId="0" fontId="43" fillId="0" borderId="44" xfId="0" applyFont="1" applyBorder="1" applyAlignment="1">
      <alignment horizontal="center" vertical="center"/>
    </xf>
    <xf numFmtId="2" fontId="40" fillId="0" borderId="38" xfId="0" applyNumberFormat="1" applyFont="1" applyBorder="1" applyAlignment="1">
      <alignment horizontal="center"/>
    </xf>
    <xf numFmtId="2" fontId="40" fillId="0" borderId="36" xfId="0" applyNumberFormat="1" applyFont="1" applyBorder="1" applyAlignment="1">
      <alignment horizontal="center"/>
    </xf>
    <xf numFmtId="2" fontId="40" fillId="0" borderId="44" xfId="0" applyNumberFormat="1" applyFont="1" applyBorder="1" applyAlignment="1">
      <alignment horizontal="center"/>
    </xf>
    <xf numFmtId="2" fontId="40" fillId="0" borderId="31" xfId="0" applyNumberFormat="1" applyFont="1" applyBorder="1" applyAlignment="1">
      <alignment horizontal="center"/>
    </xf>
    <xf numFmtId="2" fontId="43" fillId="0" borderId="36" xfId="0" applyNumberFormat="1" applyFont="1" applyBorder="1" applyAlignment="1">
      <alignment horizontal="center" vertical="center"/>
    </xf>
    <xf numFmtId="0" fontId="43" fillId="13" borderId="43" xfId="0" applyFont="1" applyFill="1" applyBorder="1" applyAlignment="1">
      <alignment horizontal="center"/>
    </xf>
    <xf numFmtId="0" fontId="40" fillId="13" borderId="8" xfId="0" applyFont="1" applyFill="1" applyBorder="1"/>
    <xf numFmtId="0" fontId="40" fillId="13" borderId="3" xfId="0" applyFont="1" applyFill="1" applyBorder="1"/>
    <xf numFmtId="0" fontId="40" fillId="13" borderId="12" xfId="0" applyFont="1" applyFill="1" applyBorder="1"/>
    <xf numFmtId="0" fontId="43" fillId="13" borderId="43" xfId="0" applyFont="1" applyFill="1" applyBorder="1"/>
    <xf numFmtId="2" fontId="43" fillId="0" borderId="4" xfId="0" applyNumberFormat="1" applyFont="1" applyBorder="1" applyAlignment="1">
      <alignment horizontal="center" vertical="center"/>
    </xf>
    <xf numFmtId="0" fontId="43" fillId="0" borderId="35" xfId="0" applyFont="1" applyBorder="1" applyAlignment="1">
      <alignment horizontal="center" vertical="center"/>
    </xf>
    <xf numFmtId="2" fontId="40" fillId="0" borderId="10" xfId="0" applyNumberFormat="1" applyFont="1" applyBorder="1" applyAlignment="1">
      <alignment horizontal="center"/>
    </xf>
    <xf numFmtId="2" fontId="40" fillId="0" borderId="4" xfId="0" applyNumberFormat="1" applyFont="1" applyBorder="1" applyAlignment="1">
      <alignment horizontal="center"/>
    </xf>
    <xf numFmtId="2" fontId="40" fillId="0" borderId="35" xfId="0" applyNumberFormat="1" applyFont="1" applyBorder="1" applyAlignment="1">
      <alignment horizontal="center"/>
    </xf>
    <xf numFmtId="2" fontId="43" fillId="0" borderId="44" xfId="0" applyNumberFormat="1" applyFont="1" applyBorder="1" applyAlignment="1">
      <alignment horizontal="center" vertical="center"/>
    </xf>
    <xf numFmtId="2" fontId="40" fillId="0" borderId="39" xfId="0" applyNumberFormat="1" applyFont="1" applyBorder="1" applyAlignment="1">
      <alignment horizontal="center"/>
    </xf>
    <xf numFmtId="2" fontId="40" fillId="0" borderId="37" xfId="0" applyNumberFormat="1" applyFont="1" applyBorder="1" applyAlignment="1">
      <alignment horizontal="center"/>
    </xf>
    <xf numFmtId="2" fontId="40" fillId="0" borderId="40" xfId="0" applyNumberFormat="1" applyFont="1" applyBorder="1" applyAlignment="1">
      <alignment horizontal="center"/>
    </xf>
    <xf numFmtId="2" fontId="40" fillId="0" borderId="45" xfId="0" applyNumberFormat="1" applyFont="1" applyBorder="1" applyAlignment="1">
      <alignment horizontal="center"/>
    </xf>
    <xf numFmtId="2" fontId="31" fillId="0" borderId="36" xfId="0" applyNumberFormat="1" applyFont="1" applyBorder="1" applyAlignment="1">
      <alignment horizontal="center" vertical="center"/>
    </xf>
    <xf numFmtId="2" fontId="50" fillId="0" borderId="0" xfId="0" applyNumberFormat="1" applyFont="1"/>
    <xf numFmtId="0" fontId="43" fillId="14" borderId="11" xfId="0" applyFont="1" applyFill="1" applyBorder="1" applyAlignment="1">
      <alignment horizontal="center" vertical="center" wrapText="1"/>
    </xf>
    <xf numFmtId="0" fontId="43" fillId="13" borderId="0" xfId="0" applyFont="1" applyFill="1" applyBorder="1" applyAlignment="1">
      <alignment horizontal="center" vertical="center" wrapText="1"/>
    </xf>
    <xf numFmtId="0" fontId="22" fillId="0" borderId="25" xfId="0" applyFont="1" applyBorder="1" applyAlignment="1">
      <alignment horizontal="left" vertical="center" wrapText="1"/>
    </xf>
    <xf numFmtId="0" fontId="51" fillId="0" borderId="0" xfId="0" applyFont="1" applyBorder="1" applyAlignment="1">
      <alignment horizontal="left" vertical="center" wrapText="1"/>
    </xf>
    <xf numFmtId="0" fontId="51" fillId="0" borderId="25" xfId="0" applyFont="1" applyBorder="1" applyAlignment="1">
      <alignment horizontal="left" vertical="center" wrapText="1"/>
    </xf>
    <xf numFmtId="0" fontId="22" fillId="0" borderId="25" xfId="0" applyFont="1" applyFill="1" applyBorder="1" applyAlignment="1">
      <alignment horizontal="left" vertical="center" wrapText="1"/>
    </xf>
    <xf numFmtId="0" fontId="22" fillId="13" borderId="0" xfId="0" applyFont="1" applyFill="1" applyBorder="1" applyAlignment="1">
      <alignment horizontal="center" vertical="center" wrapText="1"/>
    </xf>
    <xf numFmtId="0" fontId="53" fillId="0" borderId="11" xfId="0" applyFont="1" applyBorder="1" applyAlignment="1">
      <alignment horizontal="left" vertical="center" wrapText="1"/>
    </xf>
    <xf numFmtId="0" fontId="53" fillId="0" borderId="6" xfId="0" applyFont="1" applyBorder="1" applyAlignment="1">
      <alignment horizontal="left" vertical="center" wrapText="1"/>
    </xf>
    <xf numFmtId="0" fontId="53" fillId="0" borderId="32" xfId="0" applyFont="1" applyBorder="1" applyAlignment="1">
      <alignment horizontal="left" vertical="center" wrapText="1"/>
    </xf>
    <xf numFmtId="0" fontId="22" fillId="0" borderId="38" xfId="0" applyFont="1" applyFill="1" applyBorder="1" applyAlignment="1">
      <alignment horizontal="left" vertical="top" wrapText="1"/>
    </xf>
    <xf numFmtId="0" fontId="22" fillId="0" borderId="39" xfId="0" applyFont="1" applyFill="1" applyBorder="1" applyAlignment="1">
      <alignment horizontal="left" vertical="top" wrapText="1"/>
    </xf>
    <xf numFmtId="0" fontId="36" fillId="0" borderId="41" xfId="0" applyFont="1" applyBorder="1" applyAlignment="1">
      <alignment horizontal="center"/>
    </xf>
    <xf numFmtId="0" fontId="0" fillId="14" borderId="42" xfId="0" applyFont="1" applyFill="1" applyBorder="1" applyAlignment="1">
      <alignment horizontal="center"/>
    </xf>
    <xf numFmtId="0" fontId="0" fillId="14" borderId="41" xfId="0" applyFont="1" applyFill="1" applyBorder="1" applyAlignment="1">
      <alignment horizontal="center"/>
    </xf>
    <xf numFmtId="0" fontId="0" fillId="13" borderId="18" xfId="0" applyFont="1" applyFill="1" applyBorder="1" applyAlignment="1">
      <alignment horizontal="center"/>
    </xf>
    <xf numFmtId="0" fontId="36" fillId="0" borderId="18" xfId="0" applyFont="1" applyBorder="1" applyAlignment="1">
      <alignment horizontal="center"/>
    </xf>
    <xf numFmtId="0" fontId="0" fillId="0" borderId="41" xfId="0" applyFont="1" applyBorder="1" applyAlignment="1">
      <alignment horizontal="center"/>
    </xf>
    <xf numFmtId="0" fontId="0" fillId="0" borderId="42" xfId="0" applyFont="1" applyBorder="1" applyAlignment="1">
      <alignment horizontal="center"/>
    </xf>
    <xf numFmtId="0" fontId="0" fillId="0" borderId="43" xfId="0" applyFont="1" applyBorder="1" applyAlignment="1">
      <alignment horizontal="center"/>
    </xf>
    <xf numFmtId="16" fontId="0" fillId="0" borderId="42" xfId="0" applyNumberFormat="1" applyFont="1" applyBorder="1" applyAlignment="1">
      <alignment horizontal="center"/>
    </xf>
    <xf numFmtId="0" fontId="52" fillId="0" borderId="14" xfId="0" applyFont="1" applyBorder="1" applyAlignment="1">
      <alignment horizontal="center" vertical="center"/>
    </xf>
    <xf numFmtId="0" fontId="52" fillId="0" borderId="16" xfId="0" applyFont="1" applyBorder="1" applyAlignment="1">
      <alignment horizontal="center" vertical="center"/>
    </xf>
    <xf numFmtId="0" fontId="0" fillId="0" borderId="14" xfId="0" applyFont="1" applyBorder="1"/>
    <xf numFmtId="0" fontId="43" fillId="0" borderId="9" xfId="0" applyFont="1" applyBorder="1" applyAlignment="1">
      <alignment horizontal="center"/>
    </xf>
    <xf numFmtId="0" fontId="43" fillId="0" borderId="13" xfId="0" applyFont="1" applyBorder="1" applyAlignment="1">
      <alignment horizontal="center"/>
    </xf>
    <xf numFmtId="0" fontId="55" fillId="5" borderId="1" xfId="0" applyFont="1" applyFill="1" applyBorder="1" applyAlignment="1">
      <alignment horizontal="center" vertical="center"/>
    </xf>
    <xf numFmtId="0" fontId="56" fillId="0" borderId="2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center" vertical="center" wrapText="1"/>
    </xf>
    <xf numFmtId="0" fontId="55" fillId="0" borderId="1" xfId="0" applyFont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167" fontId="55" fillId="0" borderId="1" xfId="0" applyNumberFormat="1" applyFont="1" applyBorder="1" applyAlignment="1">
      <alignment horizontal="center" vertical="center" wrapText="1"/>
    </xf>
    <xf numFmtId="0" fontId="55" fillId="0" borderId="0" xfId="0" applyFont="1" applyAlignment="1">
      <alignment horizontal="center" vertical="center"/>
    </xf>
    <xf numFmtId="2" fontId="55" fillId="0" borderId="1" xfId="0" applyNumberFormat="1" applyFont="1" applyBorder="1" applyAlignment="1">
      <alignment horizontal="center" vertical="center" wrapText="1"/>
    </xf>
    <xf numFmtId="2" fontId="55" fillId="0" borderId="2" xfId="0" applyNumberFormat="1" applyFont="1" applyBorder="1" applyAlignment="1">
      <alignment horizontal="center" vertical="center" wrapText="1"/>
    </xf>
    <xf numFmtId="0" fontId="55" fillId="0" borderId="1" xfId="0" applyFont="1" applyBorder="1" applyAlignment="1">
      <alignment horizontal="center" vertical="center"/>
    </xf>
    <xf numFmtId="167" fontId="55" fillId="0" borderId="1" xfId="0" applyNumberFormat="1" applyFont="1" applyBorder="1" applyAlignment="1">
      <alignment horizontal="center" vertical="center"/>
    </xf>
    <xf numFmtId="0" fontId="55" fillId="5" borderId="1" xfId="0" applyFont="1" applyFill="1" applyBorder="1" applyAlignment="1">
      <alignment horizontal="center" vertical="center" wrapText="1"/>
    </xf>
    <xf numFmtId="0" fontId="32" fillId="0" borderId="1" xfId="0" applyFont="1" applyBorder="1" applyAlignment="1">
      <alignment horizontal="left" vertical="center" wrapText="1"/>
    </xf>
    <xf numFmtId="16" fontId="55" fillId="5" borderId="1" xfId="0" applyNumberFormat="1" applyFont="1" applyFill="1" applyBorder="1" applyAlignment="1">
      <alignment horizontal="center" vertical="center" wrapText="1"/>
    </xf>
    <xf numFmtId="0" fontId="32" fillId="0" borderId="2" xfId="0" applyFont="1" applyBorder="1" applyAlignment="1">
      <alignment horizontal="left" vertical="center" wrapText="1"/>
    </xf>
    <xf numFmtId="167" fontId="32" fillId="0" borderId="1" xfId="0" applyNumberFormat="1" applyFont="1" applyBorder="1" applyAlignment="1">
      <alignment horizontal="center" vertical="center" wrapText="1"/>
    </xf>
    <xf numFmtId="2" fontId="32" fillId="0" borderId="1" xfId="0" applyNumberFormat="1" applyFont="1" applyBorder="1" applyAlignment="1">
      <alignment horizontal="center" vertical="center" wrapText="1"/>
    </xf>
    <xf numFmtId="2" fontId="32" fillId="0" borderId="2" xfId="0" applyNumberFormat="1" applyFont="1" applyBorder="1" applyAlignment="1">
      <alignment horizontal="center" vertical="center" wrapText="1"/>
    </xf>
    <xf numFmtId="0" fontId="54" fillId="0" borderId="0" xfId="0" applyFont="1"/>
    <xf numFmtId="0" fontId="7" fillId="0" borderId="0" xfId="0" applyFont="1" applyAlignment="1">
      <alignment horizontal="center" vertical="center"/>
    </xf>
    <xf numFmtId="0" fontId="1" fillId="0" borderId="1" xfId="9" applyFont="1" applyBorder="1" applyAlignment="1">
      <alignment wrapText="1"/>
    </xf>
    <xf numFmtId="2" fontId="1" fillId="0" borderId="1" xfId="9" applyNumberFormat="1" applyFont="1" applyBorder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1" xfId="23" applyFont="1" applyBorder="1" applyAlignment="1">
      <alignment vertical="top" wrapText="1"/>
    </xf>
    <xf numFmtId="0" fontId="6" fillId="0" borderId="1" xfId="23" applyFont="1" applyBorder="1" applyAlignment="1">
      <alignment horizontal="left" vertical="top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2" fontId="6" fillId="0" borderId="17" xfId="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center" wrapText="1"/>
    </xf>
    <xf numFmtId="0" fontId="20" fillId="0" borderId="0" xfId="26"/>
    <xf numFmtId="0" fontId="27" fillId="0" borderId="0" xfId="26" applyFont="1" applyAlignment="1">
      <alignment horizontal="left" vertical="top" wrapText="1"/>
    </xf>
    <xf numFmtId="0" fontId="27" fillId="0" borderId="0" xfId="26" applyFont="1" applyAlignment="1">
      <alignment horizontal="center" vertical="top" wrapText="1"/>
    </xf>
    <xf numFmtId="0" fontId="27" fillId="0" borderId="0" xfId="26" applyFont="1" applyAlignment="1">
      <alignment horizontal="center" vertical="top"/>
    </xf>
    <xf numFmtId="0" fontId="27" fillId="0" borderId="0" xfId="26" applyFont="1" applyAlignment="1">
      <alignment horizontal="right" vertical="top"/>
    </xf>
    <xf numFmtId="0" fontId="27" fillId="0" borderId="0" xfId="26" applyFont="1"/>
    <xf numFmtId="49" fontId="27" fillId="0" borderId="0" xfId="26" applyNumberFormat="1" applyFont="1" applyAlignment="1">
      <alignment horizontal="left" vertical="top"/>
    </xf>
    <xf numFmtId="0" fontId="27" fillId="0" borderId="0" xfId="26" applyFont="1" applyAlignment="1">
      <alignment horizontal="left" vertical="top"/>
    </xf>
    <xf numFmtId="0" fontId="27" fillId="0" borderId="11" xfId="26" applyFont="1" applyBorder="1" applyAlignment="1">
      <alignment horizontal="right" vertical="top"/>
    </xf>
    <xf numFmtId="0" fontId="27" fillId="0" borderId="32" xfId="26" applyFont="1" applyBorder="1" applyAlignment="1">
      <alignment horizontal="right" vertical="top"/>
    </xf>
    <xf numFmtId="0" fontId="47" fillId="0" borderId="32" xfId="26" applyFont="1" applyBorder="1" applyAlignment="1">
      <alignment horizontal="center" vertical="top"/>
    </xf>
    <xf numFmtId="0" fontId="27" fillId="0" borderId="0" xfId="26" applyFont="1" applyBorder="1" applyAlignment="1">
      <alignment horizontal="right" vertical="top"/>
    </xf>
    <xf numFmtId="0" fontId="26" fillId="0" borderId="0" xfId="26" applyFont="1" applyAlignment="1">
      <alignment horizontal="center" vertical="top"/>
    </xf>
    <xf numFmtId="0" fontId="27" fillId="0" borderId="0" xfId="26" applyFont="1" applyAlignment="1">
      <alignment horizontal="right" vertical="top" wrapText="1"/>
    </xf>
    <xf numFmtId="0" fontId="27" fillId="0" borderId="11" xfId="26" applyFont="1" applyBorder="1" applyAlignment="1">
      <alignment horizontal="left" vertical="top"/>
    </xf>
    <xf numFmtId="0" fontId="27" fillId="0" borderId="0" xfId="26" applyFont="1" applyAlignment="1">
      <alignment horizontal="left"/>
    </xf>
    <xf numFmtId="0" fontId="27" fillId="0" borderId="32" xfId="26" applyFont="1" applyBorder="1"/>
    <xf numFmtId="0" fontId="47" fillId="0" borderId="0" xfId="26" applyFont="1" applyAlignment="1">
      <alignment horizontal="center" vertical="top"/>
    </xf>
    <xf numFmtId="49" fontId="47" fillId="0" borderId="0" xfId="26" applyNumberFormat="1" applyFont="1" applyAlignment="1">
      <alignment horizontal="left" vertical="top"/>
    </xf>
    <xf numFmtId="0" fontId="28" fillId="0" borderId="1" xfId="26" applyFont="1" applyBorder="1" applyAlignment="1">
      <alignment horizontal="center" vertical="center" wrapText="1"/>
    </xf>
    <xf numFmtId="0" fontId="28" fillId="0" borderId="1" xfId="26" applyFont="1" applyBorder="1" applyAlignment="1">
      <alignment horizontal="center" vertical="center"/>
    </xf>
    <xf numFmtId="49" fontId="28" fillId="0" borderId="1" xfId="26" applyNumberFormat="1" applyFont="1" applyBorder="1" applyAlignment="1">
      <alignment horizontal="center" vertical="center"/>
    </xf>
    <xf numFmtId="0" fontId="28" fillId="0" borderId="1" xfId="26" applyFont="1" applyBorder="1" applyAlignment="1">
      <alignment horizontal="center" vertical="top"/>
    </xf>
    <xf numFmtId="0" fontId="29" fillId="0" borderId="0" xfId="26" applyFont="1" applyAlignment="1">
      <alignment horizontal="right" vertical="top"/>
    </xf>
    <xf numFmtId="0" fontId="27" fillId="0" borderId="0" xfId="26" applyFont="1" applyAlignment="1"/>
    <xf numFmtId="49" fontId="48" fillId="0" borderId="1" xfId="26" applyNumberFormat="1" applyFont="1" applyBorder="1" applyAlignment="1">
      <alignment horizontal="left" vertical="top" wrapText="1"/>
    </xf>
    <xf numFmtId="0" fontId="28" fillId="0" borderId="1" xfId="26" applyFont="1" applyBorder="1" applyAlignment="1">
      <alignment horizontal="left" vertical="top" wrapText="1"/>
    </xf>
    <xf numFmtId="0" fontId="28" fillId="0" borderId="1" xfId="26" applyFont="1" applyBorder="1" applyAlignment="1">
      <alignment horizontal="center" vertical="top" wrapText="1"/>
    </xf>
    <xf numFmtId="0" fontId="46" fillId="0" borderId="1" xfId="26" applyFont="1" applyBorder="1" applyAlignment="1">
      <alignment horizontal="center" vertical="top"/>
    </xf>
    <xf numFmtId="0" fontId="29" fillId="0" borderId="1" xfId="26" applyFont="1" applyBorder="1" applyAlignment="1">
      <alignment horizontal="right" vertical="top"/>
    </xf>
    <xf numFmtId="0" fontId="29" fillId="0" borderId="1" xfId="26" applyFont="1" applyBorder="1" applyAlignment="1">
      <alignment horizontal="right" vertical="top" wrapText="1"/>
    </xf>
    <xf numFmtId="0" fontId="49" fillId="0" borderId="1" xfId="26" applyFont="1" applyBorder="1" applyAlignment="1">
      <alignment horizontal="right" vertical="top" wrapText="1"/>
    </xf>
    <xf numFmtId="2" fontId="2" fillId="15" borderId="1" xfId="0" applyNumberFormat="1" applyFont="1" applyFill="1" applyBorder="1" applyAlignment="1">
      <alignment horizontal="center" vertical="center" wrapText="1"/>
    </xf>
    <xf numFmtId="0" fontId="20" fillId="0" borderId="0" xfId="27"/>
    <xf numFmtId="0" fontId="27" fillId="0" borderId="0" xfId="27" applyFont="1" applyAlignment="1">
      <alignment horizontal="left" vertical="top" wrapText="1"/>
    </xf>
    <xf numFmtId="0" fontId="27" fillId="0" borderId="0" xfId="27" applyFont="1" applyAlignment="1">
      <alignment horizontal="center" vertical="top" wrapText="1"/>
    </xf>
    <xf numFmtId="0" fontId="27" fillId="0" borderId="0" xfId="27" applyFont="1" applyAlignment="1">
      <alignment horizontal="center" vertical="top"/>
    </xf>
    <xf numFmtId="0" fontId="27" fillId="0" borderId="0" xfId="27" applyFont="1" applyAlignment="1">
      <alignment horizontal="right" vertical="top"/>
    </xf>
    <xf numFmtId="0" fontId="27" fillId="0" borderId="0" xfId="27" applyFont="1"/>
    <xf numFmtId="49" fontId="27" fillId="0" borderId="0" xfId="27" applyNumberFormat="1" applyFont="1" applyAlignment="1">
      <alignment horizontal="left" vertical="top"/>
    </xf>
    <xf numFmtId="0" fontId="27" fillId="0" borderId="0" xfId="27" applyFont="1" applyAlignment="1">
      <alignment horizontal="left" vertical="top"/>
    </xf>
    <xf numFmtId="0" fontId="27" fillId="0" borderId="11" xfId="27" applyFont="1" applyBorder="1" applyAlignment="1">
      <alignment horizontal="right" vertical="top"/>
    </xf>
    <xf numFmtId="0" fontId="27" fillId="0" borderId="32" xfId="27" applyFont="1" applyBorder="1" applyAlignment="1">
      <alignment horizontal="right" vertical="top"/>
    </xf>
    <xf numFmtId="0" fontId="47" fillId="0" borderId="32" xfId="27" applyFont="1" applyBorder="1" applyAlignment="1">
      <alignment horizontal="center" vertical="top"/>
    </xf>
    <xf numFmtId="0" fontId="27" fillId="0" borderId="0" xfId="27" applyFont="1" applyBorder="1" applyAlignment="1">
      <alignment horizontal="right" vertical="top"/>
    </xf>
    <xf numFmtId="0" fontId="26" fillId="0" borderId="0" xfId="27" applyFont="1" applyAlignment="1">
      <alignment horizontal="center" vertical="top"/>
    </xf>
    <xf numFmtId="0" fontId="27" fillId="0" borderId="0" xfId="27" applyFont="1" applyAlignment="1">
      <alignment horizontal="right" vertical="top" wrapText="1"/>
    </xf>
    <xf numFmtId="0" fontId="27" fillId="0" borderId="11" xfId="27" applyFont="1" applyBorder="1" applyAlignment="1">
      <alignment horizontal="left" vertical="top"/>
    </xf>
    <xf numFmtId="0" fontId="27" fillId="0" borderId="0" xfId="27" applyFont="1" applyAlignment="1">
      <alignment horizontal="left"/>
    </xf>
    <xf numFmtId="0" fontId="27" fillId="0" borderId="32" xfId="27" applyFont="1" applyBorder="1"/>
    <xf numFmtId="0" fontId="47" fillId="0" borderId="0" xfId="27" applyFont="1" applyAlignment="1">
      <alignment horizontal="center" vertical="top"/>
    </xf>
    <xf numFmtId="49" fontId="47" fillId="0" borderId="0" xfId="27" applyNumberFormat="1" applyFont="1" applyAlignment="1">
      <alignment horizontal="left" vertical="top"/>
    </xf>
    <xf numFmtId="0" fontId="28" fillId="0" borderId="1" xfId="27" applyFont="1" applyBorder="1" applyAlignment="1">
      <alignment horizontal="center" vertical="center" wrapText="1"/>
    </xf>
    <xf numFmtId="0" fontId="28" fillId="0" borderId="1" xfId="27" applyFont="1" applyBorder="1" applyAlignment="1">
      <alignment horizontal="center" vertical="center"/>
    </xf>
    <xf numFmtId="49" fontId="28" fillId="0" borderId="1" xfId="27" applyNumberFormat="1" applyFont="1" applyBorder="1" applyAlignment="1">
      <alignment horizontal="center" vertical="center"/>
    </xf>
    <xf numFmtId="0" fontId="28" fillId="0" borderId="1" xfId="27" applyFont="1" applyBorder="1" applyAlignment="1">
      <alignment horizontal="center" vertical="top"/>
    </xf>
    <xf numFmtId="0" fontId="29" fillId="0" borderId="0" xfId="27" applyFont="1" applyAlignment="1">
      <alignment horizontal="right" vertical="top"/>
    </xf>
    <xf numFmtId="0" fontId="27" fillId="0" borderId="0" xfId="27" applyFont="1" applyAlignment="1"/>
    <xf numFmtId="49" fontId="48" fillId="0" borderId="1" xfId="27" applyNumberFormat="1" applyFont="1" applyBorder="1" applyAlignment="1">
      <alignment horizontal="left" vertical="top" wrapText="1"/>
    </xf>
    <xf numFmtId="0" fontId="28" fillId="0" borderId="1" xfId="27" applyFont="1" applyBorder="1" applyAlignment="1">
      <alignment horizontal="left" vertical="top" wrapText="1"/>
    </xf>
    <xf numFmtId="0" fontId="28" fillId="0" borderId="1" xfId="27" applyFont="1" applyBorder="1" applyAlignment="1">
      <alignment horizontal="center" vertical="top" wrapText="1"/>
    </xf>
    <xf numFmtId="0" fontId="46" fillId="0" borderId="1" xfId="27" applyFont="1" applyBorder="1" applyAlignment="1">
      <alignment horizontal="center" vertical="top"/>
    </xf>
    <xf numFmtId="0" fontId="29" fillId="0" borderId="1" xfId="27" applyFont="1" applyBorder="1" applyAlignment="1">
      <alignment horizontal="right" vertical="top"/>
    </xf>
    <xf numFmtId="0" fontId="29" fillId="0" borderId="1" xfId="27" applyFont="1" applyBorder="1" applyAlignment="1">
      <alignment horizontal="right" vertical="top" wrapText="1"/>
    </xf>
    <xf numFmtId="0" fontId="49" fillId="0" borderId="1" xfId="27" applyFont="1" applyBorder="1" applyAlignment="1">
      <alignment horizontal="right" vertical="top" wrapText="1"/>
    </xf>
    <xf numFmtId="0" fontId="20" fillId="0" borderId="0" xfId="28"/>
    <xf numFmtId="0" fontId="27" fillId="0" borderId="0" xfId="28" applyFont="1" applyAlignment="1">
      <alignment horizontal="left" vertical="top" wrapText="1"/>
    </xf>
    <xf numFmtId="0" fontId="27" fillId="0" borderId="0" xfId="28" applyFont="1" applyAlignment="1">
      <alignment horizontal="center" vertical="top" wrapText="1"/>
    </xf>
    <xf numFmtId="0" fontId="27" fillId="0" borderId="0" xfId="28" applyFont="1" applyAlignment="1">
      <alignment horizontal="center" vertical="top"/>
    </xf>
    <xf numFmtId="0" fontId="27" fillId="0" borderId="0" xfId="28" applyFont="1" applyAlignment="1">
      <alignment horizontal="right" vertical="top"/>
    </xf>
    <xf numFmtId="0" fontId="27" fillId="0" borderId="0" xfId="28" applyFont="1"/>
    <xf numFmtId="49" fontId="27" fillId="0" borderId="0" xfId="28" applyNumberFormat="1" applyFont="1" applyAlignment="1">
      <alignment horizontal="left" vertical="top"/>
    </xf>
    <xf numFmtId="0" fontId="27" fillId="0" borderId="0" xfId="28" applyFont="1" applyAlignment="1">
      <alignment horizontal="left" vertical="top"/>
    </xf>
    <xf numFmtId="0" fontId="27" fillId="0" borderId="11" xfId="28" applyFont="1" applyBorder="1" applyAlignment="1">
      <alignment horizontal="right" vertical="top"/>
    </xf>
    <xf numFmtId="0" fontId="27" fillId="0" borderId="32" xfId="28" applyFont="1" applyBorder="1" applyAlignment="1">
      <alignment horizontal="right" vertical="top"/>
    </xf>
    <xf numFmtId="0" fontId="47" fillId="0" borderId="32" xfId="28" applyFont="1" applyBorder="1" applyAlignment="1">
      <alignment horizontal="center" vertical="top"/>
    </xf>
    <xf numFmtId="0" fontId="27" fillId="0" borderId="0" xfId="28" applyFont="1" applyBorder="1" applyAlignment="1">
      <alignment horizontal="right" vertical="top"/>
    </xf>
    <xf numFmtId="0" fontId="26" fillId="0" borderId="0" xfId="28" applyFont="1" applyAlignment="1">
      <alignment horizontal="center" vertical="top"/>
    </xf>
    <xf numFmtId="0" fontId="27" fillId="0" borderId="0" xfId="28" applyFont="1" applyAlignment="1">
      <alignment horizontal="right" vertical="top" wrapText="1"/>
    </xf>
    <xf numFmtId="0" fontId="27" fillId="0" borderId="11" xfId="28" applyFont="1" applyBorder="1" applyAlignment="1">
      <alignment horizontal="left" vertical="top"/>
    </xf>
    <xf numFmtId="0" fontId="27" fillId="0" borderId="0" xfId="28" applyFont="1" applyAlignment="1">
      <alignment horizontal="left"/>
    </xf>
    <xf numFmtId="0" fontId="27" fillId="0" borderId="32" xfId="28" applyFont="1" applyBorder="1"/>
    <xf numFmtId="0" fontId="47" fillId="0" borderId="0" xfId="28" applyFont="1" applyAlignment="1">
      <alignment horizontal="center" vertical="top"/>
    </xf>
    <xf numFmtId="49" fontId="47" fillId="0" borderId="0" xfId="28" applyNumberFormat="1" applyFont="1" applyAlignment="1">
      <alignment horizontal="left" vertical="top"/>
    </xf>
    <xf numFmtId="0" fontId="28" fillId="0" borderId="1" xfId="28" applyFont="1" applyBorder="1" applyAlignment="1">
      <alignment horizontal="center" vertical="center" wrapText="1"/>
    </xf>
    <xf numFmtId="0" fontId="28" fillId="0" borderId="1" xfId="28" applyFont="1" applyBorder="1" applyAlignment="1">
      <alignment horizontal="center" vertical="center"/>
    </xf>
    <xf numFmtId="49" fontId="28" fillId="0" borderId="1" xfId="28" applyNumberFormat="1" applyFont="1" applyBorder="1" applyAlignment="1">
      <alignment horizontal="center" vertical="center"/>
    </xf>
    <xf numFmtId="0" fontId="28" fillId="0" borderId="1" xfId="28" applyFont="1" applyBorder="1" applyAlignment="1">
      <alignment horizontal="center" vertical="top"/>
    </xf>
    <xf numFmtId="0" fontId="29" fillId="0" borderId="0" xfId="28" applyFont="1" applyAlignment="1">
      <alignment horizontal="right" vertical="top"/>
    </xf>
    <xf numFmtId="0" fontId="27" fillId="0" borderId="0" xfId="28" applyFont="1" applyAlignment="1"/>
    <xf numFmtId="49" fontId="48" fillId="0" borderId="1" xfId="28" applyNumberFormat="1" applyFont="1" applyBorder="1" applyAlignment="1">
      <alignment horizontal="left" vertical="top" wrapText="1"/>
    </xf>
    <xf numFmtId="0" fontId="28" fillId="0" borderId="1" xfId="28" applyFont="1" applyBorder="1" applyAlignment="1">
      <alignment horizontal="left" vertical="top" wrapText="1"/>
    </xf>
    <xf numFmtId="0" fontId="28" fillId="0" borderId="1" xfId="28" applyFont="1" applyBorder="1" applyAlignment="1">
      <alignment horizontal="center" vertical="top" wrapText="1"/>
    </xf>
    <xf numFmtId="0" fontId="46" fillId="0" borderId="1" xfId="28" applyFont="1" applyBorder="1" applyAlignment="1">
      <alignment horizontal="center" vertical="top"/>
    </xf>
    <xf numFmtId="0" fontId="29" fillId="0" borderId="1" xfId="28" applyFont="1" applyBorder="1" applyAlignment="1">
      <alignment horizontal="right" vertical="top"/>
    </xf>
    <xf numFmtId="0" fontId="29" fillId="0" borderId="1" xfId="28" applyFont="1" applyBorder="1" applyAlignment="1">
      <alignment horizontal="right" vertical="top" wrapText="1"/>
    </xf>
    <xf numFmtId="0" fontId="49" fillId="0" borderId="1" xfId="28" applyFont="1" applyBorder="1" applyAlignment="1">
      <alignment horizontal="right" vertical="top" wrapText="1"/>
    </xf>
    <xf numFmtId="0" fontId="27" fillId="0" borderId="0" xfId="29" applyFont="1" applyAlignment="1">
      <alignment horizontal="left" vertical="top" wrapText="1"/>
    </xf>
    <xf numFmtId="0" fontId="27" fillId="0" borderId="0" xfId="29" applyFont="1" applyAlignment="1">
      <alignment horizontal="center" vertical="top" wrapText="1"/>
    </xf>
    <xf numFmtId="0" fontId="27" fillId="0" borderId="0" xfId="29" applyFont="1" applyAlignment="1">
      <alignment horizontal="center" vertical="top"/>
    </xf>
    <xf numFmtId="0" fontId="27" fillId="0" borderId="0" xfId="29" applyFont="1" applyAlignment="1">
      <alignment horizontal="right" vertical="top"/>
    </xf>
    <xf numFmtId="0" fontId="27" fillId="0" borderId="0" xfId="29" applyFont="1"/>
    <xf numFmtId="49" fontId="27" fillId="0" borderId="0" xfId="29" applyNumberFormat="1" applyFont="1" applyAlignment="1">
      <alignment horizontal="left" vertical="top"/>
    </xf>
    <xf numFmtId="0" fontId="27" fillId="0" borderId="0" xfId="29" applyFont="1" applyAlignment="1">
      <alignment horizontal="left" vertical="top"/>
    </xf>
    <xf numFmtId="0" fontId="27" fillId="0" borderId="11" xfId="29" applyFont="1" applyBorder="1" applyAlignment="1">
      <alignment horizontal="right" vertical="top"/>
    </xf>
    <xf numFmtId="0" fontId="27" fillId="0" borderId="32" xfId="29" applyFont="1" applyBorder="1" applyAlignment="1">
      <alignment horizontal="right" vertical="top"/>
    </xf>
    <xf numFmtId="0" fontId="47" fillId="0" borderId="32" xfId="29" applyFont="1" applyBorder="1" applyAlignment="1">
      <alignment horizontal="center" vertical="top"/>
    </xf>
    <xf numFmtId="0" fontId="27" fillId="0" borderId="0" xfId="29" applyFont="1" applyBorder="1" applyAlignment="1">
      <alignment horizontal="right" vertical="top"/>
    </xf>
    <xf numFmtId="0" fontId="26" fillId="0" borderId="0" xfId="29" applyFont="1" applyAlignment="1">
      <alignment horizontal="center" vertical="top"/>
    </xf>
    <xf numFmtId="0" fontId="27" fillId="0" borderId="0" xfId="29" applyFont="1" applyAlignment="1">
      <alignment horizontal="right" vertical="top" wrapText="1"/>
    </xf>
    <xf numFmtId="0" fontId="27" fillId="0" borderId="11" xfId="29" applyFont="1" applyBorder="1" applyAlignment="1">
      <alignment horizontal="left" vertical="top"/>
    </xf>
    <xf numFmtId="0" fontId="27" fillId="0" borderId="0" xfId="29" applyFont="1" applyAlignment="1">
      <alignment horizontal="left"/>
    </xf>
    <xf numFmtId="0" fontId="27" fillId="0" borderId="32" xfId="29" applyFont="1" applyBorder="1"/>
    <xf numFmtId="0" fontId="47" fillId="0" borderId="0" xfId="29" applyFont="1" applyAlignment="1">
      <alignment horizontal="center" vertical="top"/>
    </xf>
    <xf numFmtId="49" fontId="47" fillId="0" borderId="0" xfId="29" applyNumberFormat="1" applyFont="1" applyAlignment="1">
      <alignment horizontal="left" vertical="top"/>
    </xf>
    <xf numFmtId="0" fontId="28" fillId="0" borderId="1" xfId="29" applyFont="1" applyBorder="1" applyAlignment="1">
      <alignment horizontal="center" vertical="center" wrapText="1"/>
    </xf>
    <xf numFmtId="0" fontId="28" fillId="0" borderId="1" xfId="29" applyFont="1" applyBorder="1" applyAlignment="1">
      <alignment horizontal="center" vertical="center"/>
    </xf>
    <xf numFmtId="49" fontId="28" fillId="0" borderId="1" xfId="29" applyNumberFormat="1" applyFont="1" applyBorder="1" applyAlignment="1">
      <alignment horizontal="center" vertical="center"/>
    </xf>
    <xf numFmtId="0" fontId="28" fillId="0" borderId="1" xfId="29" applyFont="1" applyBorder="1" applyAlignment="1">
      <alignment horizontal="center" vertical="top"/>
    </xf>
    <xf numFmtId="0" fontId="27" fillId="0" borderId="0" xfId="29" applyFont="1" applyAlignment="1"/>
    <xf numFmtId="49" fontId="48" fillId="0" borderId="1" xfId="29" applyNumberFormat="1" applyFont="1" applyBorder="1" applyAlignment="1">
      <alignment horizontal="left" vertical="top" wrapText="1"/>
    </xf>
    <xf numFmtId="0" fontId="28" fillId="0" borderId="1" xfId="29" applyFont="1" applyBorder="1" applyAlignment="1">
      <alignment horizontal="left" vertical="top" wrapText="1"/>
    </xf>
    <xf numFmtId="0" fontId="28" fillId="0" borderId="1" xfId="29" applyFont="1" applyBorder="1" applyAlignment="1">
      <alignment horizontal="center" vertical="top" wrapText="1"/>
    </xf>
    <xf numFmtId="0" fontId="46" fillId="0" borderId="1" xfId="29" applyFont="1" applyBorder="1" applyAlignment="1">
      <alignment horizontal="center" vertical="top"/>
    </xf>
    <xf numFmtId="0" fontId="29" fillId="0" borderId="1" xfId="29" applyFont="1" applyBorder="1" applyAlignment="1">
      <alignment horizontal="right" vertical="top"/>
    </xf>
    <xf numFmtId="0" fontId="29" fillId="0" borderId="1" xfId="29" applyFont="1" applyBorder="1" applyAlignment="1">
      <alignment horizontal="right" vertical="top" wrapText="1"/>
    </xf>
    <xf numFmtId="0" fontId="49" fillId="0" borderId="1" xfId="29" applyFont="1" applyBorder="1" applyAlignment="1">
      <alignment horizontal="right" vertical="top" wrapText="1"/>
    </xf>
    <xf numFmtId="0" fontId="27" fillId="0" borderId="0" xfId="30" applyFont="1" applyAlignment="1">
      <alignment horizontal="left" vertical="top" wrapText="1"/>
    </xf>
    <xf numFmtId="0" fontId="27" fillId="0" borderId="0" xfId="30" applyFont="1" applyAlignment="1">
      <alignment horizontal="center" vertical="top" wrapText="1"/>
    </xf>
    <xf numFmtId="0" fontId="27" fillId="0" borderId="0" xfId="30" applyFont="1" applyAlignment="1">
      <alignment horizontal="center" vertical="top"/>
    </xf>
    <xf numFmtId="0" fontId="27" fillId="0" borderId="0" xfId="30" applyFont="1" applyAlignment="1">
      <alignment horizontal="right" vertical="top"/>
    </xf>
    <xf numFmtId="0" fontId="27" fillId="0" borderId="0" xfId="30" applyFont="1"/>
    <xf numFmtId="49" fontId="27" fillId="0" borderId="0" xfId="30" applyNumberFormat="1" applyFont="1" applyAlignment="1">
      <alignment horizontal="left" vertical="top"/>
    </xf>
    <xf numFmtId="0" fontId="27" fillId="0" borderId="0" xfId="30" applyFont="1" applyAlignment="1">
      <alignment horizontal="left" vertical="top"/>
    </xf>
    <xf numFmtId="0" fontId="27" fillId="0" borderId="11" xfId="30" applyFont="1" applyBorder="1" applyAlignment="1">
      <alignment horizontal="right" vertical="top"/>
    </xf>
    <xf numFmtId="0" fontId="27" fillId="0" borderId="32" xfId="30" applyFont="1" applyBorder="1" applyAlignment="1">
      <alignment horizontal="right" vertical="top"/>
    </xf>
    <xf numFmtId="0" fontId="47" fillId="0" borderId="32" xfId="30" applyFont="1" applyBorder="1" applyAlignment="1">
      <alignment horizontal="center" vertical="top"/>
    </xf>
    <xf numFmtId="0" fontId="27" fillId="0" borderId="0" xfId="30" applyFont="1" applyBorder="1" applyAlignment="1">
      <alignment horizontal="right" vertical="top"/>
    </xf>
    <xf numFmtId="0" fontId="26" fillId="0" borderId="0" xfId="30" applyFont="1" applyAlignment="1">
      <alignment horizontal="center" vertical="top"/>
    </xf>
    <xf numFmtId="0" fontId="27" fillId="0" borderId="0" xfId="30" applyFont="1" applyAlignment="1">
      <alignment horizontal="right" vertical="top" wrapText="1"/>
    </xf>
    <xf numFmtId="0" fontId="27" fillId="0" borderId="11" xfId="30" applyFont="1" applyBorder="1" applyAlignment="1">
      <alignment horizontal="left" vertical="top"/>
    </xf>
    <xf numFmtId="0" fontId="27" fillId="0" borderId="0" xfId="30" applyFont="1" applyAlignment="1">
      <alignment horizontal="left"/>
    </xf>
    <xf numFmtId="0" fontId="27" fillId="0" borderId="32" xfId="30" applyFont="1" applyBorder="1"/>
    <xf numFmtId="0" fontId="47" fillId="0" borderId="0" xfId="30" applyFont="1" applyAlignment="1">
      <alignment horizontal="center" vertical="top"/>
    </xf>
    <xf numFmtId="49" fontId="47" fillId="0" borderId="0" xfId="30" applyNumberFormat="1" applyFont="1" applyAlignment="1">
      <alignment horizontal="left" vertical="top"/>
    </xf>
    <xf numFmtId="0" fontId="28" fillId="0" borderId="1" xfId="30" applyFont="1" applyBorder="1" applyAlignment="1">
      <alignment horizontal="center" vertical="center" wrapText="1"/>
    </xf>
    <xf numFmtId="0" fontId="28" fillId="0" borderId="1" xfId="30" applyFont="1" applyBorder="1" applyAlignment="1">
      <alignment horizontal="center" vertical="center"/>
    </xf>
    <xf numFmtId="49" fontId="28" fillId="0" borderId="1" xfId="30" applyNumberFormat="1" applyFont="1" applyBorder="1" applyAlignment="1">
      <alignment horizontal="center" vertical="center"/>
    </xf>
    <xf numFmtId="0" fontId="28" fillId="0" borderId="1" xfId="30" applyFont="1" applyBorder="1" applyAlignment="1">
      <alignment horizontal="center" vertical="top"/>
    </xf>
    <xf numFmtId="0" fontId="27" fillId="0" borderId="0" xfId="30" applyFont="1" applyAlignment="1"/>
    <xf numFmtId="49" fontId="48" fillId="0" borderId="1" xfId="30" applyNumberFormat="1" applyFont="1" applyBorder="1" applyAlignment="1">
      <alignment horizontal="left" vertical="top" wrapText="1"/>
    </xf>
    <xf numFmtId="0" fontId="28" fillId="0" borderId="1" xfId="30" applyFont="1" applyBorder="1" applyAlignment="1">
      <alignment horizontal="left" vertical="top" wrapText="1"/>
    </xf>
    <xf numFmtId="0" fontId="28" fillId="0" borderId="1" xfId="30" applyFont="1" applyBorder="1" applyAlignment="1">
      <alignment horizontal="center" vertical="top" wrapText="1"/>
    </xf>
    <xf numFmtId="0" fontId="46" fillId="0" borderId="1" xfId="30" applyFont="1" applyBorder="1" applyAlignment="1">
      <alignment horizontal="center" vertical="top"/>
    </xf>
    <xf numFmtId="0" fontId="29" fillId="0" borderId="1" xfId="30" applyFont="1" applyBorder="1" applyAlignment="1">
      <alignment horizontal="right" vertical="top"/>
    </xf>
    <xf numFmtId="0" fontId="29" fillId="0" borderId="1" xfId="30" applyFont="1" applyBorder="1" applyAlignment="1">
      <alignment horizontal="right" vertical="top" wrapText="1"/>
    </xf>
    <xf numFmtId="0" fontId="49" fillId="0" borderId="1" xfId="30" applyFont="1" applyBorder="1" applyAlignment="1">
      <alignment horizontal="right" vertical="top" wrapText="1"/>
    </xf>
    <xf numFmtId="2" fontId="29" fillId="0" borderId="1" xfId="30" applyNumberFormat="1" applyFont="1" applyBorder="1" applyAlignment="1">
      <alignment horizontal="right" vertical="top"/>
    </xf>
    <xf numFmtId="2" fontId="10" fillId="0" borderId="23" xfId="0" applyNumberFormat="1" applyFont="1" applyFill="1" applyBorder="1" applyAlignment="1">
      <alignment horizontal="center" vertical="center" wrapText="1"/>
    </xf>
    <xf numFmtId="2" fontId="7" fillId="0" borderId="0" xfId="0" applyNumberFormat="1" applyFont="1"/>
    <xf numFmtId="0" fontId="42" fillId="0" borderId="0" xfId="0" applyFont="1"/>
    <xf numFmtId="0" fontId="6" fillId="0" borderId="0" xfId="0" applyFont="1"/>
    <xf numFmtId="2" fontId="42" fillId="0" borderId="0" xfId="0" applyNumberFormat="1" applyFont="1"/>
    <xf numFmtId="0" fontId="6" fillId="0" borderId="8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14" fontId="6" fillId="0" borderId="9" xfId="0" applyNumberFormat="1" applyFont="1" applyBorder="1" applyAlignment="1">
      <alignment vertical="top" wrapText="1"/>
    </xf>
    <xf numFmtId="2" fontId="6" fillId="0" borderId="9" xfId="0" applyNumberFormat="1" applyFont="1" applyBorder="1" applyAlignment="1">
      <alignment vertical="top" wrapText="1"/>
    </xf>
    <xf numFmtId="2" fontId="6" fillId="0" borderId="3" xfId="0" applyNumberFormat="1" applyFont="1" applyBorder="1" applyAlignment="1">
      <alignment vertical="top" wrapText="1"/>
    </xf>
    <xf numFmtId="0" fontId="42" fillId="0" borderId="5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2" fontId="6" fillId="0" borderId="10" xfId="0" applyNumberFormat="1" applyFont="1" applyBorder="1" applyAlignment="1">
      <alignment vertical="top" wrapText="1"/>
    </xf>
    <xf numFmtId="0" fontId="42" fillId="0" borderId="10" xfId="0" applyFont="1" applyBorder="1" applyAlignment="1">
      <alignment vertical="top" wrapText="1"/>
    </xf>
    <xf numFmtId="0" fontId="42" fillId="0" borderId="9" xfId="0" applyFont="1" applyBorder="1" applyAlignment="1">
      <alignment vertical="top" wrapText="1"/>
    </xf>
    <xf numFmtId="0" fontId="42" fillId="0" borderId="7" xfId="0" applyFont="1" applyBorder="1"/>
    <xf numFmtId="0" fontId="6" fillId="0" borderId="7" xfId="0" applyFont="1" applyBorder="1" applyAlignment="1">
      <alignment vertical="top" wrapText="1"/>
    </xf>
    <xf numFmtId="0" fontId="42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2" fontId="42" fillId="0" borderId="1" xfId="0" applyNumberFormat="1" applyFont="1" applyBorder="1" applyAlignment="1">
      <alignment vertical="top" wrapText="1"/>
    </xf>
    <xf numFmtId="0" fontId="6" fillId="0" borderId="1" xfId="0" applyFont="1" applyBorder="1"/>
    <xf numFmtId="2" fontId="57" fillId="0" borderId="1" xfId="0" applyNumberFormat="1" applyFont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0" xfId="0" applyFont="1" applyAlignment="1">
      <alignment horizontal="left" wrapText="1"/>
    </xf>
    <xf numFmtId="2" fontId="9" fillId="0" borderId="0" xfId="0" applyNumberFormat="1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44" fillId="0" borderId="1" xfId="0" applyFont="1" applyBorder="1" applyAlignment="1">
      <alignment horizontal="left"/>
    </xf>
    <xf numFmtId="0" fontId="12" fillId="17" borderId="2" xfId="0" applyFont="1" applyFill="1" applyBorder="1" applyAlignment="1">
      <alignment horizontal="center" vertical="center" wrapText="1"/>
    </xf>
    <xf numFmtId="0" fontId="44" fillId="17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37" fillId="0" borderId="1" xfId="0" applyFont="1" applyBorder="1" applyAlignment="1">
      <alignment horizontal="center" wrapText="1"/>
    </xf>
    <xf numFmtId="0" fontId="1" fillId="0" borderId="2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left" vertical="top" wrapText="1"/>
    </xf>
    <xf numFmtId="0" fontId="44" fillId="17" borderId="2" xfId="0" applyFont="1" applyFill="1" applyBorder="1" applyAlignment="1">
      <alignment horizontal="center" vertical="center" wrapText="1"/>
    </xf>
    <xf numFmtId="0" fontId="40" fillId="17" borderId="1" xfId="0" applyFont="1" applyFill="1" applyBorder="1" applyAlignment="1">
      <alignment horizontal="center"/>
    </xf>
    <xf numFmtId="0" fontId="37" fillId="0" borderId="12" xfId="0" applyFont="1" applyBorder="1"/>
    <xf numFmtId="0" fontId="37" fillId="0" borderId="8" xfId="0" applyFont="1" applyBorder="1"/>
    <xf numFmtId="0" fontId="37" fillId="0" borderId="2" xfId="0" applyFont="1" applyBorder="1" applyAlignment="1">
      <alignment horizontal="center"/>
    </xf>
    <xf numFmtId="165" fontId="37" fillId="0" borderId="48" xfId="0" applyNumberFormat="1" applyFont="1" applyBorder="1" applyAlignment="1">
      <alignment horizontal="center"/>
    </xf>
    <xf numFmtId="43" fontId="44" fillId="0" borderId="49" xfId="17" applyNumberFormat="1" applyFont="1" applyBorder="1" applyAlignment="1">
      <alignment horizontal="center"/>
    </xf>
    <xf numFmtId="165" fontId="44" fillId="17" borderId="48" xfId="0" applyNumberFormat="1" applyFont="1" applyFill="1" applyBorder="1" applyAlignment="1">
      <alignment horizontal="center" vertical="center" wrapText="1"/>
    </xf>
    <xf numFmtId="0" fontId="44" fillId="17" borderId="49" xfId="0" applyFont="1" applyFill="1" applyBorder="1" applyAlignment="1">
      <alignment horizontal="center" vertical="center" wrapText="1"/>
    </xf>
    <xf numFmtId="165" fontId="37" fillId="0" borderId="50" xfId="0" applyNumberFormat="1" applyFont="1" applyBorder="1" applyAlignment="1">
      <alignment horizontal="center"/>
    </xf>
    <xf numFmtId="43" fontId="44" fillId="0" borderId="49" xfId="17" applyFont="1" applyBorder="1" applyAlignment="1">
      <alignment horizontal="center"/>
    </xf>
    <xf numFmtId="2" fontId="37" fillId="0" borderId="50" xfId="0" applyNumberFormat="1" applyFont="1" applyBorder="1" applyAlignment="1">
      <alignment horizontal="center"/>
    </xf>
    <xf numFmtId="2" fontId="37" fillId="0" borderId="51" xfId="0" applyNumberFormat="1" applyFont="1" applyBorder="1" applyAlignment="1">
      <alignment horizontal="center"/>
    </xf>
    <xf numFmtId="43" fontId="44" fillId="0" borderId="52" xfId="17" applyFont="1" applyBorder="1" applyAlignment="1">
      <alignment horizontal="center"/>
    </xf>
    <xf numFmtId="0" fontId="44" fillId="16" borderId="46" xfId="0" applyFont="1" applyFill="1" applyBorder="1" applyAlignment="1">
      <alignment horizontal="center" vertical="center" wrapText="1"/>
    </xf>
    <xf numFmtId="0" fontId="44" fillId="16" borderId="47" xfId="0" applyFont="1" applyFill="1" applyBorder="1" applyAlignment="1">
      <alignment horizontal="center" vertical="center" wrapText="1"/>
    </xf>
    <xf numFmtId="0" fontId="40" fillId="11" borderId="14" xfId="0" applyFont="1" applyFill="1" applyBorder="1" applyAlignment="1">
      <alignment horizontal="center"/>
    </xf>
    <xf numFmtId="0" fontId="44" fillId="11" borderId="25" xfId="0" applyFont="1" applyFill="1" applyBorder="1" applyAlignment="1">
      <alignment horizontal="center" vertical="center"/>
    </xf>
    <xf numFmtId="0" fontId="44" fillId="11" borderId="14" xfId="0" applyFont="1" applyFill="1" applyBorder="1" applyAlignment="1">
      <alignment horizontal="center" vertical="center"/>
    </xf>
    <xf numFmtId="0" fontId="44" fillId="11" borderId="15" xfId="0" applyFont="1" applyFill="1" applyBorder="1" applyAlignment="1">
      <alignment horizontal="center" vertical="center"/>
    </xf>
    <xf numFmtId="0" fontId="41" fillId="16" borderId="5" xfId="0" applyFont="1" applyFill="1" applyBorder="1" applyAlignment="1"/>
    <xf numFmtId="0" fontId="41" fillId="16" borderId="5" xfId="0" applyFont="1" applyFill="1" applyBorder="1" applyAlignment="1">
      <alignment horizontal="center" vertical="center"/>
    </xf>
    <xf numFmtId="0" fontId="41" fillId="16" borderId="13" xfId="0" applyFont="1" applyFill="1" applyBorder="1" applyAlignment="1"/>
    <xf numFmtId="2" fontId="54" fillId="0" borderId="0" xfId="0" applyNumberFormat="1" applyFont="1"/>
    <xf numFmtId="2" fontId="54" fillId="11" borderId="0" xfId="0" applyNumberFormat="1" applyFont="1" applyFill="1"/>
    <xf numFmtId="0" fontId="43" fillId="15" borderId="4" xfId="0" applyFont="1" applyFill="1" applyBorder="1" applyAlignment="1">
      <alignment horizontal="center" vertical="center"/>
    </xf>
    <xf numFmtId="0" fontId="37" fillId="15" borderId="2" xfId="0" applyFont="1" applyFill="1" applyBorder="1" applyAlignment="1">
      <alignment horizontal="center"/>
    </xf>
    <xf numFmtId="164" fontId="2" fillId="15" borderId="1" xfId="0" applyNumberFormat="1" applyFont="1" applyFill="1" applyBorder="1" applyAlignment="1">
      <alignment horizontal="center" vertical="center" wrapText="1"/>
    </xf>
    <xf numFmtId="0" fontId="41" fillId="15" borderId="1" xfId="0" applyFont="1" applyFill="1" applyBorder="1" applyAlignment="1">
      <alignment horizontal="center" vertical="center" wrapText="1"/>
    </xf>
    <xf numFmtId="2" fontId="9" fillId="15" borderId="1" xfId="0" applyNumberFormat="1" applyFont="1" applyFill="1" applyBorder="1" applyAlignment="1">
      <alignment horizontal="center" vertical="center" wrapText="1"/>
    </xf>
    <xf numFmtId="2" fontId="42" fillId="0" borderId="9" xfId="0" applyNumberFormat="1" applyFont="1" applyBorder="1" applyAlignment="1">
      <alignment vertical="top" wrapText="1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0" fontId="1" fillId="0" borderId="3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top" wrapText="1"/>
    </xf>
    <xf numFmtId="2" fontId="1" fillId="0" borderId="3" xfId="0" applyNumberFormat="1" applyFont="1" applyBorder="1" applyAlignment="1">
      <alignment horizontal="right" vertical="top" wrapText="1"/>
    </xf>
    <xf numFmtId="2" fontId="1" fillId="0" borderId="5" xfId="0" applyNumberFormat="1" applyFont="1" applyBorder="1" applyAlignment="1">
      <alignment horizontal="right" vertical="top" wrapText="1"/>
    </xf>
    <xf numFmtId="0" fontId="1" fillId="0" borderId="4" xfId="0" applyFont="1" applyBorder="1" applyAlignment="1">
      <alignment horizontal="justify" vertical="top" wrapText="1"/>
    </xf>
    <xf numFmtId="2" fontId="1" fillId="0" borderId="4" xfId="15" applyNumberFormat="1" applyFont="1" applyBorder="1" applyAlignment="1">
      <alignment horizontal="justify" vertical="top" wrapText="1"/>
    </xf>
    <xf numFmtId="0" fontId="1" fillId="0" borderId="4" xfId="15" applyFont="1" applyBorder="1" applyAlignment="1">
      <alignment horizontal="justify" vertical="top" wrapText="1"/>
    </xf>
    <xf numFmtId="2" fontId="1" fillId="0" borderId="4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justify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10" xfId="15" applyFont="1" applyFill="1" applyBorder="1" applyAlignment="1">
      <alignment horizontal="justify" vertical="top" wrapText="1"/>
    </xf>
    <xf numFmtId="0" fontId="1" fillId="11" borderId="9" xfId="0" applyFont="1" applyFill="1" applyBorder="1" applyAlignment="1">
      <alignment horizontal="center" vertical="top" wrapText="1"/>
    </xf>
    <xf numFmtId="0" fontId="1" fillId="11" borderId="10" xfId="0" applyFont="1" applyFill="1" applyBorder="1" applyAlignment="1">
      <alignment horizontal="justify" vertical="top" wrapText="1"/>
    </xf>
    <xf numFmtId="0" fontId="25" fillId="0" borderId="10" xfId="0" applyFont="1" applyBorder="1" applyAlignment="1">
      <alignment horizontal="justify" vertical="top" wrapText="1"/>
    </xf>
    <xf numFmtId="0" fontId="1" fillId="11" borderId="8" xfId="0" applyFont="1" applyFill="1" applyBorder="1" applyAlignment="1">
      <alignment horizontal="justify" vertical="top" wrapText="1"/>
    </xf>
    <xf numFmtId="0" fontId="25" fillId="0" borderId="8" xfId="0" applyFont="1" applyBorder="1" applyAlignment="1">
      <alignment horizontal="justify" vertical="top" wrapText="1"/>
    </xf>
    <xf numFmtId="0" fontId="8" fillId="11" borderId="0" xfId="0" applyFont="1" applyFill="1"/>
    <xf numFmtId="4" fontId="8" fillId="11" borderId="0" xfId="0" applyNumberFormat="1" applyFont="1" applyFill="1"/>
    <xf numFmtId="0" fontId="40" fillId="11" borderId="0" xfId="0" applyFont="1" applyFill="1"/>
    <xf numFmtId="0" fontId="41" fillId="11" borderId="0" xfId="0" applyFont="1" applyFill="1"/>
    <xf numFmtId="4" fontId="22" fillId="11" borderId="15" xfId="0" applyNumberFormat="1" applyFont="1" applyFill="1" applyBorder="1" applyAlignment="1">
      <alignment horizontal="center" vertical="center"/>
    </xf>
    <xf numFmtId="4" fontId="22" fillId="11" borderId="14" xfId="0" applyNumberFormat="1" applyFont="1" applyFill="1" applyBorder="1" applyAlignment="1">
      <alignment horizontal="center" vertical="center"/>
    </xf>
    <xf numFmtId="0" fontId="33" fillId="10" borderId="5" xfId="0" applyFont="1" applyFill="1" applyBorder="1" applyAlignment="1">
      <alignment horizontal="center" vertical="center" wrapText="1"/>
    </xf>
    <xf numFmtId="4" fontId="33" fillId="10" borderId="5" xfId="0" applyNumberFormat="1" applyFont="1" applyFill="1" applyBorder="1" applyAlignment="1">
      <alignment horizontal="center" vertical="center" wrapText="1"/>
    </xf>
    <xf numFmtId="4" fontId="22" fillId="10" borderId="5" xfId="0" applyNumberFormat="1" applyFont="1" applyFill="1" applyBorder="1"/>
    <xf numFmtId="0" fontId="58" fillId="0" borderId="5" xfId="0" applyFont="1" applyFill="1" applyBorder="1" applyAlignment="1">
      <alignment horizontal="right" vertical="center" wrapText="1"/>
    </xf>
    <xf numFmtId="0" fontId="6" fillId="0" borderId="5" xfId="0" applyFont="1" applyFill="1" applyBorder="1" applyAlignment="1">
      <alignment horizontal="right" vertical="center" wrapText="1"/>
    </xf>
    <xf numFmtId="4" fontId="6" fillId="0" borderId="5" xfId="0" applyNumberFormat="1" applyFont="1" applyFill="1" applyBorder="1" applyAlignment="1">
      <alignment horizontal="right" vertical="center" wrapText="1"/>
    </xf>
    <xf numFmtId="4" fontId="6" fillId="0" borderId="5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/>
    <xf numFmtId="4" fontId="22" fillId="0" borderId="1" xfId="0" applyNumberFormat="1" applyFont="1" applyFill="1" applyBorder="1"/>
    <xf numFmtId="0" fontId="33" fillId="10" borderId="1" xfId="0" applyFont="1" applyFill="1" applyBorder="1" applyAlignment="1">
      <alignment horizontal="center" vertical="center" wrapText="1"/>
    </xf>
    <xf numFmtId="4" fontId="33" fillId="10" borderId="1" xfId="0" applyNumberFormat="1" applyFont="1" applyFill="1" applyBorder="1" applyAlignment="1">
      <alignment vertical="center" wrapText="1"/>
    </xf>
    <xf numFmtId="4" fontId="33" fillId="10" borderId="1" xfId="0" applyNumberFormat="1" applyFont="1" applyFill="1" applyBorder="1" applyAlignment="1">
      <alignment horizontal="center" vertical="center" wrapText="1"/>
    </xf>
    <xf numFmtId="4" fontId="22" fillId="10" borderId="1" xfId="0" applyNumberFormat="1" applyFont="1" applyFill="1" applyBorder="1"/>
    <xf numFmtId="4" fontId="6" fillId="0" borderId="1" xfId="0" applyNumberFormat="1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59" fillId="0" borderId="5" xfId="0" applyFont="1" applyFill="1" applyBorder="1" applyAlignment="1">
      <alignment horizontal="right" vertical="center" wrapText="1"/>
    </xf>
    <xf numFmtId="0" fontId="59" fillId="0" borderId="1" xfId="0" applyFont="1" applyFill="1" applyBorder="1" applyAlignment="1">
      <alignment horizontal="right" vertical="center" wrapText="1"/>
    </xf>
    <xf numFmtId="0" fontId="33" fillId="10" borderId="5" xfId="0" applyFont="1" applyFill="1" applyBorder="1" applyAlignment="1">
      <alignment horizontal="right" vertical="center" wrapText="1"/>
    </xf>
    <xf numFmtId="0" fontId="58" fillId="0" borderId="1" xfId="0" applyFont="1" applyFill="1" applyBorder="1" applyAlignment="1">
      <alignment horizontal="right" vertical="center" wrapText="1"/>
    </xf>
    <xf numFmtId="0" fontId="6" fillId="10" borderId="5" xfId="0" applyFont="1" applyFill="1" applyBorder="1" applyAlignment="1">
      <alignment horizontal="right" vertical="center" wrapText="1"/>
    </xf>
    <xf numFmtId="4" fontId="6" fillId="10" borderId="1" xfId="0" applyNumberFormat="1" applyFon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center" vertical="center" wrapText="1"/>
    </xf>
    <xf numFmtId="4" fontId="6" fillId="10" borderId="1" xfId="0" applyNumberFormat="1" applyFont="1" applyFill="1" applyBorder="1" applyAlignment="1">
      <alignment vertical="center" wrapText="1"/>
    </xf>
    <xf numFmtId="0" fontId="57" fillId="10" borderId="1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4" fontId="33" fillId="0" borderId="0" xfId="0" applyNumberFormat="1" applyFont="1" applyFill="1" applyBorder="1" applyAlignment="1">
      <alignment horizontal="center" vertical="center" wrapText="1"/>
    </xf>
    <xf numFmtId="4" fontId="22" fillId="0" borderId="0" xfId="0" applyNumberFormat="1" applyFont="1" applyFill="1" applyBorder="1"/>
    <xf numFmtId="0" fontId="8" fillId="0" borderId="0" xfId="0" applyFont="1" applyFill="1"/>
    <xf numFmtId="4" fontId="8" fillId="0" borderId="0" xfId="0" applyNumberFormat="1" applyFont="1" applyFill="1"/>
    <xf numFmtId="0" fontId="22" fillId="0" borderId="14" xfId="0" applyFont="1" applyFill="1" applyBorder="1" applyAlignment="1">
      <alignment horizontal="right"/>
    </xf>
    <xf numFmtId="0" fontId="8" fillId="0" borderId="14" xfId="0" applyFont="1" applyFill="1" applyBorder="1"/>
    <xf numFmtId="4" fontId="8" fillId="0" borderId="14" xfId="0" applyNumberFormat="1" applyFont="1" applyFill="1" applyBorder="1"/>
    <xf numFmtId="4" fontId="22" fillId="0" borderId="14" xfId="0" applyNumberFormat="1" applyFont="1" applyFill="1" applyBorder="1"/>
    <xf numFmtId="0" fontId="33" fillId="0" borderId="4" xfId="0" applyFont="1" applyFill="1" applyBorder="1" applyAlignment="1">
      <alignment wrapText="1"/>
    </xf>
    <xf numFmtId="0" fontId="8" fillId="0" borderId="4" xfId="0" applyFont="1" applyFill="1" applyBorder="1"/>
    <xf numFmtId="4" fontId="8" fillId="0" borderId="4" xfId="0" applyNumberFormat="1" applyFont="1" applyFill="1" applyBorder="1"/>
    <xf numFmtId="39" fontId="8" fillId="0" borderId="4" xfId="17" applyNumberFormat="1" applyFont="1" applyFill="1" applyBorder="1" applyAlignment="1">
      <alignment horizontal="right"/>
    </xf>
    <xf numFmtId="0" fontId="22" fillId="0" borderId="30" xfId="0" applyFont="1" applyFill="1" applyBorder="1" applyAlignment="1">
      <alignment horizontal="right"/>
    </xf>
    <xf numFmtId="0" fontId="8" fillId="0" borderId="36" xfId="0" applyFont="1" applyFill="1" applyBorder="1"/>
    <xf numFmtId="4" fontId="8" fillId="0" borderId="36" xfId="0" applyNumberFormat="1" applyFont="1" applyFill="1" applyBorder="1"/>
    <xf numFmtId="4" fontId="22" fillId="0" borderId="36" xfId="0" applyNumberFormat="1" applyFont="1" applyFill="1" applyBorder="1"/>
    <xf numFmtId="4" fontId="22" fillId="0" borderId="31" xfId="0" applyNumberFormat="1" applyFont="1" applyFill="1" applyBorder="1"/>
    <xf numFmtId="0" fontId="8" fillId="18" borderId="0" xfId="0" applyFont="1" applyFill="1" applyBorder="1"/>
    <xf numFmtId="4" fontId="8" fillId="18" borderId="0" xfId="0" applyNumberFormat="1" applyFont="1" applyFill="1" applyBorder="1"/>
    <xf numFmtId="0" fontId="60" fillId="18" borderId="0" xfId="0" applyFont="1" applyFill="1" applyBorder="1"/>
    <xf numFmtId="0" fontId="61" fillId="18" borderId="0" xfId="0" applyFont="1" applyFill="1" applyBorder="1"/>
    <xf numFmtId="4" fontId="22" fillId="18" borderId="15" xfId="0" applyNumberFormat="1" applyFont="1" applyFill="1" applyBorder="1" applyAlignment="1">
      <alignment horizontal="center" vertical="center"/>
    </xf>
    <xf numFmtId="4" fontId="22" fillId="18" borderId="14" xfId="0" applyNumberFormat="1" applyFont="1" applyFill="1" applyBorder="1" applyAlignment="1">
      <alignment horizontal="center" vertical="center"/>
    </xf>
    <xf numFmtId="0" fontId="33" fillId="19" borderId="5" xfId="0" applyFont="1" applyFill="1" applyBorder="1" applyAlignment="1">
      <alignment horizontal="center" vertical="center" wrapText="1"/>
    </xf>
    <xf numFmtId="4" fontId="33" fillId="19" borderId="5" xfId="0" applyNumberFormat="1" applyFont="1" applyFill="1" applyBorder="1" applyAlignment="1">
      <alignment horizontal="center" vertical="center" wrapText="1"/>
    </xf>
    <xf numFmtId="4" fontId="22" fillId="19" borderId="5" xfId="0" applyNumberFormat="1" applyFont="1" applyFill="1" applyBorder="1"/>
    <xf numFmtId="0" fontId="33" fillId="19" borderId="1" xfId="0" applyFont="1" applyFill="1" applyBorder="1" applyAlignment="1">
      <alignment horizontal="center" vertical="center" wrapText="1"/>
    </xf>
    <xf numFmtId="4" fontId="33" fillId="19" borderId="1" xfId="0" applyNumberFormat="1" applyFont="1" applyFill="1" applyBorder="1" applyAlignment="1">
      <alignment vertical="center" wrapText="1"/>
    </xf>
    <xf numFmtId="4" fontId="33" fillId="19" borderId="1" xfId="0" applyNumberFormat="1" applyFont="1" applyFill="1" applyBorder="1" applyAlignment="1">
      <alignment horizontal="center" vertical="center" wrapText="1"/>
    </xf>
    <xf numFmtId="4" fontId="22" fillId="19" borderId="1" xfId="0" applyNumberFormat="1" applyFont="1" applyFill="1" applyBorder="1"/>
    <xf numFmtId="0" fontId="33" fillId="19" borderId="5" xfId="0" applyFont="1" applyFill="1" applyBorder="1" applyAlignment="1">
      <alignment horizontal="right" vertical="center" wrapText="1"/>
    </xf>
    <xf numFmtId="0" fontId="6" fillId="19" borderId="5" xfId="0" applyFont="1" applyFill="1" applyBorder="1" applyAlignment="1">
      <alignment horizontal="right" vertical="center" wrapText="1"/>
    </xf>
    <xf numFmtId="4" fontId="6" fillId="19" borderId="1" xfId="0" applyNumberFormat="1" applyFont="1" applyFill="1" applyBorder="1" applyAlignment="1">
      <alignment horizontal="center" vertical="center" wrapText="1"/>
    </xf>
    <xf numFmtId="0" fontId="6" fillId="19" borderId="1" xfId="0" applyFont="1" applyFill="1" applyBorder="1" applyAlignment="1">
      <alignment horizontal="center" vertical="center" wrapText="1"/>
    </xf>
    <xf numFmtId="4" fontId="6" fillId="19" borderId="1" xfId="0" applyNumberFormat="1" applyFont="1" applyFill="1" applyBorder="1" applyAlignment="1">
      <alignment vertical="center" wrapText="1"/>
    </xf>
    <xf numFmtId="0" fontId="62" fillId="19" borderId="1" xfId="0" applyFont="1" applyFill="1" applyBorder="1" applyAlignment="1">
      <alignment horizontal="center" vertical="center" wrapText="1"/>
    </xf>
    <xf numFmtId="0" fontId="8" fillId="0" borderId="0" xfId="0" applyFont="1" applyFill="1" applyBorder="1"/>
    <xf numFmtId="4" fontId="8" fillId="0" borderId="0" xfId="0" applyNumberFormat="1" applyFont="1" applyFill="1" applyBorder="1"/>
    <xf numFmtId="39" fontId="8" fillId="0" borderId="35" xfId="17" applyNumberFormat="1" applyFont="1" applyFill="1" applyBorder="1" applyAlignment="1">
      <alignment horizontal="right"/>
    </xf>
    <xf numFmtId="0" fontId="22" fillId="0" borderId="16" xfId="0" applyFont="1" applyFill="1" applyBorder="1" applyAlignment="1">
      <alignment horizontal="right"/>
    </xf>
    <xf numFmtId="0" fontId="8" fillId="0" borderId="16" xfId="0" applyFont="1" applyFill="1" applyBorder="1"/>
    <xf numFmtId="4" fontId="8" fillId="0" borderId="16" xfId="0" applyNumberFormat="1" applyFont="1" applyFill="1" applyBorder="1"/>
    <xf numFmtId="0" fontId="22" fillId="0" borderId="21" xfId="0" applyFont="1" applyFill="1" applyBorder="1" applyAlignment="1">
      <alignment horizontal="right"/>
    </xf>
    <xf numFmtId="0" fontId="8" fillId="0" borderId="22" xfId="0" applyFont="1" applyFill="1" applyBorder="1"/>
    <xf numFmtId="4" fontId="8" fillId="0" borderId="22" xfId="0" applyNumberFormat="1" applyFont="1" applyFill="1" applyBorder="1"/>
    <xf numFmtId="4" fontId="22" fillId="0" borderId="22" xfId="0" applyNumberFormat="1" applyFont="1" applyFill="1" applyBorder="1"/>
    <xf numFmtId="4" fontId="22" fillId="0" borderId="23" xfId="0" applyNumberFormat="1" applyFont="1" applyFill="1" applyBorder="1"/>
    <xf numFmtId="0" fontId="33" fillId="0" borderId="1" xfId="0" applyFont="1" applyFill="1" applyBorder="1" applyAlignment="1">
      <alignment wrapText="1"/>
    </xf>
    <xf numFmtId="0" fontId="8" fillId="0" borderId="1" xfId="0" applyFont="1" applyFill="1" applyBorder="1"/>
    <xf numFmtId="39" fontId="8" fillId="0" borderId="1" xfId="17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right"/>
    </xf>
    <xf numFmtId="0" fontId="33" fillId="0" borderId="5" xfId="0" applyFont="1" applyFill="1" applyBorder="1" applyAlignment="1">
      <alignment wrapText="1"/>
    </xf>
    <xf numFmtId="0" fontId="8" fillId="0" borderId="5" xfId="0" applyFont="1" applyFill="1" applyBorder="1" applyAlignment="1">
      <alignment horizontal="right"/>
    </xf>
    <xf numFmtId="0" fontId="8" fillId="0" borderId="5" xfId="0" applyFont="1" applyFill="1" applyBorder="1"/>
    <xf numFmtId="4" fontId="8" fillId="0" borderId="5" xfId="0" applyNumberFormat="1" applyFont="1" applyFill="1" applyBorder="1"/>
    <xf numFmtId="39" fontId="8" fillId="0" borderId="5" xfId="17" applyNumberFormat="1" applyFont="1" applyFill="1" applyBorder="1" applyAlignment="1">
      <alignment horizontal="right"/>
    </xf>
    <xf numFmtId="0" fontId="33" fillId="0" borderId="3" xfId="0" applyFont="1" applyFill="1" applyBorder="1" applyAlignment="1">
      <alignment wrapText="1"/>
    </xf>
    <xf numFmtId="0" fontId="8" fillId="0" borderId="3" xfId="0" applyFont="1" applyFill="1" applyBorder="1" applyAlignment="1">
      <alignment horizontal="right"/>
    </xf>
    <xf numFmtId="0" fontId="8" fillId="0" borderId="3" xfId="0" applyFont="1" applyFill="1" applyBorder="1"/>
    <xf numFmtId="4" fontId="8" fillId="0" borderId="3" xfId="0" applyNumberFormat="1" applyFont="1" applyFill="1" applyBorder="1"/>
    <xf numFmtId="39" fontId="8" fillId="0" borderId="3" xfId="17" applyNumberFormat="1" applyFont="1" applyFill="1" applyBorder="1" applyAlignment="1">
      <alignment horizontal="right"/>
    </xf>
    <xf numFmtId="0" fontId="63" fillId="11" borderId="0" xfId="0" applyFont="1" applyFill="1"/>
    <xf numFmtId="0" fontId="54" fillId="11" borderId="0" xfId="0" applyFont="1" applyFill="1"/>
    <xf numFmtId="0" fontId="0" fillId="11" borderId="0" xfId="0" applyFill="1"/>
    <xf numFmtId="0" fontId="12" fillId="11" borderId="0" xfId="0" applyFont="1" applyFill="1" applyAlignment="1"/>
    <xf numFmtId="0" fontId="40" fillId="11" borderId="1" xfId="0" applyFont="1" applyFill="1" applyBorder="1"/>
    <xf numFmtId="0" fontId="41" fillId="11" borderId="1" xfId="0" applyFont="1" applyFill="1" applyBorder="1"/>
    <xf numFmtId="0" fontId="64" fillId="11" borderId="0" xfId="0" applyFont="1" applyFill="1"/>
    <xf numFmtId="4" fontId="8" fillId="11" borderId="14" xfId="0" applyNumberFormat="1" applyFont="1" applyFill="1" applyBorder="1"/>
    <xf numFmtId="4" fontId="8" fillId="11" borderId="14" xfId="0" applyNumberFormat="1" applyFont="1" applyFill="1" applyBorder="1" applyAlignment="1">
      <alignment horizontal="center"/>
    </xf>
    <xf numFmtId="4" fontId="8" fillId="11" borderId="19" xfId="0" applyNumberFormat="1" applyFont="1" applyFill="1" applyBorder="1" applyAlignment="1">
      <alignment horizontal="center"/>
    </xf>
    <xf numFmtId="4" fontId="8" fillId="11" borderId="56" xfId="0" applyNumberFormat="1" applyFont="1" applyFill="1" applyBorder="1" applyAlignment="1">
      <alignment horizontal="center"/>
    </xf>
    <xf numFmtId="4" fontId="8" fillId="11" borderId="57" xfId="0" applyNumberFormat="1" applyFont="1" applyFill="1" applyBorder="1" applyAlignment="1">
      <alignment horizontal="center"/>
    </xf>
    <xf numFmtId="4" fontId="8" fillId="11" borderId="58" xfId="0" applyNumberFormat="1" applyFont="1" applyFill="1" applyBorder="1" applyAlignment="1">
      <alignment horizontal="center"/>
    </xf>
    <xf numFmtId="4" fontId="8" fillId="11" borderId="10" xfId="0" applyNumberFormat="1" applyFont="1" applyFill="1" applyBorder="1" applyAlignment="1">
      <alignment horizontal="center"/>
    </xf>
    <xf numFmtId="4" fontId="8" fillId="11" borderId="4" xfId="0" applyNumberFormat="1" applyFont="1" applyFill="1" applyBorder="1" applyAlignment="1">
      <alignment horizontal="center"/>
    </xf>
    <xf numFmtId="4" fontId="8" fillId="11" borderId="14" xfId="0" applyNumberFormat="1" applyFont="1" applyFill="1" applyBorder="1" applyAlignment="1">
      <alignment wrapText="1"/>
    </xf>
    <xf numFmtId="4" fontId="8" fillId="11" borderId="14" xfId="0" applyNumberFormat="1" applyFont="1" applyFill="1" applyBorder="1" applyAlignment="1">
      <alignment horizontal="center" wrapText="1"/>
    </xf>
    <xf numFmtId="4" fontId="8" fillId="11" borderId="59" xfId="0" applyNumberFormat="1" applyFont="1" applyFill="1" applyBorder="1" applyAlignment="1">
      <alignment horizontal="center" wrapText="1"/>
    </xf>
    <xf numFmtId="4" fontId="8" fillId="11" borderId="60" xfId="0" applyNumberFormat="1" applyFont="1" applyFill="1" applyBorder="1" applyAlignment="1">
      <alignment horizontal="center" wrapText="1"/>
    </xf>
    <xf numFmtId="4" fontId="8" fillId="11" borderId="52" xfId="0" applyNumberFormat="1" applyFont="1" applyFill="1" applyBorder="1" applyAlignment="1">
      <alignment horizontal="center" wrapText="1"/>
    </xf>
    <xf numFmtId="4" fontId="8" fillId="11" borderId="38" xfId="0" applyNumberFormat="1" applyFont="1" applyFill="1" applyBorder="1" applyAlignment="1">
      <alignment horizontal="center" wrapText="1"/>
    </xf>
    <xf numFmtId="4" fontId="8" fillId="11" borderId="36" xfId="0" applyNumberFormat="1" applyFont="1" applyFill="1" applyBorder="1" applyAlignment="1">
      <alignment horizontal="center" wrapText="1"/>
    </xf>
    <xf numFmtId="4" fontId="8" fillId="11" borderId="31" xfId="0" applyNumberFormat="1" applyFont="1" applyFill="1" applyBorder="1" applyAlignment="1">
      <alignment horizontal="center" wrapText="1"/>
    </xf>
    <xf numFmtId="4" fontId="22" fillId="11" borderId="5" xfId="0" applyNumberFormat="1" applyFont="1" applyFill="1" applyBorder="1"/>
    <xf numFmtId="4" fontId="65" fillId="11" borderId="0" xfId="0" applyNumberFormat="1" applyFont="1" applyFill="1"/>
    <xf numFmtId="0" fontId="65" fillId="11" borderId="0" xfId="0" applyFont="1" applyFill="1"/>
    <xf numFmtId="0" fontId="36" fillId="11" borderId="0" xfId="0" applyFont="1" applyFill="1"/>
    <xf numFmtId="4" fontId="22" fillId="11" borderId="1" xfId="0" applyNumberFormat="1" applyFont="1" applyFill="1" applyBorder="1"/>
    <xf numFmtId="4" fontId="8" fillId="11" borderId="1" xfId="0" applyNumberFormat="1" applyFont="1" applyFill="1" applyBorder="1"/>
    <xf numFmtId="4" fontId="64" fillId="11" borderId="0" xfId="0" applyNumberFormat="1" applyFont="1" applyFill="1"/>
    <xf numFmtId="0" fontId="22" fillId="11" borderId="0" xfId="0" applyFont="1" applyFill="1"/>
    <xf numFmtId="4" fontId="22" fillId="11" borderId="0" xfId="0" applyNumberFormat="1" applyFont="1" applyFill="1" applyBorder="1"/>
    <xf numFmtId="0" fontId="35" fillId="0" borderId="14" xfId="0" applyFont="1" applyFill="1" applyBorder="1" applyAlignment="1">
      <alignment horizontal="right"/>
    </xf>
    <xf numFmtId="4" fontId="22" fillId="11" borderId="16" xfId="0" applyNumberFormat="1" applyFont="1" applyFill="1" applyBorder="1"/>
    <xf numFmtId="4" fontId="8" fillId="11" borderId="16" xfId="0" applyNumberFormat="1" applyFont="1" applyFill="1" applyBorder="1"/>
    <xf numFmtId="4" fontId="22" fillId="11" borderId="4" xfId="0" applyNumberFormat="1" applyFont="1" applyFill="1" applyBorder="1"/>
    <xf numFmtId="0" fontId="8" fillId="11" borderId="3" xfId="0" applyFont="1" applyFill="1" applyBorder="1"/>
    <xf numFmtId="0" fontId="22" fillId="0" borderId="14" xfId="0" applyFont="1" applyFill="1" applyBorder="1" applyAlignment="1">
      <alignment horizontal="right" wrapText="1"/>
    </xf>
    <xf numFmtId="0" fontId="8" fillId="0" borderId="38" xfId="0" applyFont="1" applyFill="1" applyBorder="1"/>
    <xf numFmtId="4" fontId="22" fillId="0" borderId="44" xfId="0" applyNumberFormat="1" applyFont="1" applyFill="1" applyBorder="1"/>
    <xf numFmtId="4" fontId="22" fillId="0" borderId="25" xfId="0" applyNumberFormat="1" applyFont="1" applyFill="1" applyBorder="1"/>
    <xf numFmtId="4" fontId="22" fillId="11" borderId="14" xfId="0" applyNumberFormat="1" applyFont="1" applyFill="1" applyBorder="1"/>
    <xf numFmtId="4" fontId="40" fillId="0" borderId="0" xfId="0" applyNumberFormat="1" applyFont="1" applyFill="1"/>
    <xf numFmtId="4" fontId="63" fillId="11" borderId="0" xfId="0" applyNumberFormat="1" applyFont="1" applyFill="1"/>
    <xf numFmtId="4" fontId="0" fillId="11" borderId="0" xfId="0" applyNumberFormat="1" applyFill="1"/>
    <xf numFmtId="4" fontId="40" fillId="11" borderId="0" xfId="0" applyNumberFormat="1" applyFont="1" applyFill="1"/>
    <xf numFmtId="4" fontId="66" fillId="11" borderId="0" xfId="0" applyNumberFormat="1" applyFont="1" applyFill="1"/>
    <xf numFmtId="4" fontId="8" fillId="11" borderId="26" xfId="0" applyNumberFormat="1" applyFont="1" applyFill="1" applyBorder="1" applyAlignment="1">
      <alignment horizontal="center" wrapText="1"/>
    </xf>
    <xf numFmtId="0" fontId="22" fillId="0" borderId="30" xfId="0" applyFont="1" applyFill="1" applyBorder="1" applyAlignment="1">
      <alignment horizontal="right" wrapText="1"/>
    </xf>
    <xf numFmtId="4" fontId="8" fillId="0" borderId="44" xfId="0" applyNumberFormat="1" applyFont="1" applyFill="1" applyBorder="1"/>
    <xf numFmtId="39" fontId="8" fillId="11" borderId="3" xfId="0" applyNumberFormat="1" applyFont="1" applyFill="1" applyBorder="1"/>
    <xf numFmtId="4" fontId="8" fillId="0" borderId="5" xfId="0" applyNumberFormat="1" applyFont="1" applyFill="1" applyBorder="1" applyAlignment="1">
      <alignment horizontal="right" vertical="center" wrapText="1"/>
    </xf>
    <xf numFmtId="0" fontId="10" fillId="0" borderId="0" xfId="0" applyFont="1" applyFill="1" applyAlignment="1">
      <alignment horizontal="left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0" fontId="6" fillId="0" borderId="33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34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14" fillId="0" borderId="15" xfId="0" applyFont="1" applyFill="1" applyBorder="1" applyAlignment="1">
      <alignment horizontal="center" vertical="center" wrapText="1"/>
    </xf>
    <xf numFmtId="0" fontId="14" fillId="0" borderId="25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2" fontId="6" fillId="0" borderId="19" xfId="0" applyNumberFormat="1" applyFont="1" applyFill="1" applyBorder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center" vertical="center" wrapText="1"/>
    </xf>
    <xf numFmtId="2" fontId="6" fillId="0" borderId="17" xfId="0" applyNumberFormat="1" applyFont="1" applyFill="1" applyBorder="1" applyAlignment="1">
      <alignment horizontal="center" vertical="center" wrapText="1"/>
    </xf>
    <xf numFmtId="2" fontId="6" fillId="0" borderId="28" xfId="0" applyNumberFormat="1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 wrapText="1"/>
    </xf>
    <xf numFmtId="0" fontId="12" fillId="18" borderId="0" xfId="0" applyFont="1" applyFill="1" applyBorder="1" applyAlignment="1">
      <alignment horizontal="center"/>
    </xf>
    <xf numFmtId="0" fontId="22" fillId="18" borderId="54" xfId="0" applyNumberFormat="1" applyFont="1" applyFill="1" applyBorder="1" applyAlignment="1">
      <alignment horizontal="center" vertical="center"/>
    </xf>
    <xf numFmtId="0" fontId="22" fillId="18" borderId="42" xfId="0" applyNumberFormat="1" applyFont="1" applyFill="1" applyBorder="1" applyAlignment="1">
      <alignment horizontal="center" vertical="center"/>
    </xf>
    <xf numFmtId="0" fontId="22" fillId="18" borderId="55" xfId="0" applyNumberFormat="1" applyFont="1" applyFill="1" applyBorder="1" applyAlignment="1">
      <alignment horizontal="center" vertical="center"/>
    </xf>
    <xf numFmtId="0" fontId="22" fillId="18" borderId="16" xfId="0" applyNumberFormat="1" applyFont="1" applyFill="1" applyBorder="1" applyAlignment="1">
      <alignment horizontal="center" vertical="center"/>
    </xf>
    <xf numFmtId="0" fontId="22" fillId="18" borderId="18" xfId="0" applyNumberFormat="1" applyFont="1" applyFill="1" applyBorder="1" applyAlignment="1">
      <alignment horizontal="center" vertical="center"/>
    </xf>
    <xf numFmtId="0" fontId="22" fillId="18" borderId="24" xfId="0" applyNumberFormat="1" applyFont="1" applyFill="1" applyBorder="1" applyAlignment="1">
      <alignment horizontal="center" vertical="center"/>
    </xf>
    <xf numFmtId="0" fontId="22" fillId="18" borderId="17" xfId="0" applyNumberFormat="1" applyFont="1" applyFill="1" applyBorder="1" applyAlignment="1">
      <alignment horizontal="center" vertical="center" wrapText="1"/>
    </xf>
    <xf numFmtId="0" fontId="22" fillId="18" borderId="29" xfId="0" applyNumberFormat="1" applyFont="1" applyFill="1" applyBorder="1" applyAlignment="1">
      <alignment horizontal="center" vertical="center" wrapText="1"/>
    </xf>
    <xf numFmtId="0" fontId="22" fillId="18" borderId="33" xfId="0" applyNumberFormat="1" applyFont="1" applyFill="1" applyBorder="1" applyAlignment="1">
      <alignment horizontal="center" vertical="center" wrapText="1"/>
    </xf>
    <xf numFmtId="0" fontId="22" fillId="18" borderId="34" xfId="0" applyNumberFormat="1" applyFont="1" applyFill="1" applyBorder="1" applyAlignment="1">
      <alignment horizontal="center" vertical="center" wrapText="1"/>
    </xf>
    <xf numFmtId="4" fontId="22" fillId="18" borderId="16" xfId="0" applyNumberFormat="1" applyFont="1" applyFill="1" applyBorder="1" applyAlignment="1">
      <alignment horizontal="center" vertical="center" wrapText="1"/>
    </xf>
    <xf numFmtId="4" fontId="22" fillId="18" borderId="18" xfId="0" applyNumberFormat="1" applyFont="1" applyFill="1" applyBorder="1" applyAlignment="1">
      <alignment horizontal="center" vertical="center" wrapText="1"/>
    </xf>
    <xf numFmtId="4" fontId="22" fillId="18" borderId="24" xfId="0" applyNumberFormat="1" applyFont="1" applyFill="1" applyBorder="1" applyAlignment="1">
      <alignment horizontal="center" vertical="center" wrapText="1"/>
    </xf>
    <xf numFmtId="4" fontId="22" fillId="18" borderId="15" xfId="0" applyNumberFormat="1" applyFont="1" applyFill="1" applyBorder="1" applyAlignment="1">
      <alignment horizontal="center" vertical="center" wrapText="1"/>
    </xf>
    <xf numFmtId="4" fontId="22" fillId="18" borderId="26" xfId="0" applyNumberFormat="1" applyFont="1" applyFill="1" applyBorder="1" applyAlignment="1">
      <alignment horizontal="center" vertical="center" wrapText="1"/>
    </xf>
    <xf numFmtId="4" fontId="22" fillId="11" borderId="15" xfId="0" applyNumberFormat="1" applyFont="1" applyFill="1" applyBorder="1" applyAlignment="1">
      <alignment horizontal="center"/>
    </xf>
    <xf numFmtId="4" fontId="22" fillId="11" borderId="25" xfId="0" applyNumberFormat="1" applyFont="1" applyFill="1" applyBorder="1" applyAlignment="1">
      <alignment horizontal="center"/>
    </xf>
    <xf numFmtId="4" fontId="22" fillId="11" borderId="26" xfId="0" applyNumberFormat="1" applyFont="1" applyFill="1" applyBorder="1" applyAlignment="1">
      <alignment horizontal="center"/>
    </xf>
    <xf numFmtId="4" fontId="22" fillId="11" borderId="30" xfId="0" applyNumberFormat="1" applyFont="1" applyFill="1" applyBorder="1" applyAlignment="1">
      <alignment horizontal="center"/>
    </xf>
    <xf numFmtId="4" fontId="22" fillId="11" borderId="36" xfId="0" applyNumberFormat="1" applyFont="1" applyFill="1" applyBorder="1" applyAlignment="1">
      <alignment horizontal="center"/>
    </xf>
    <xf numFmtId="4" fontId="22" fillId="11" borderId="31" xfId="0" applyNumberFormat="1" applyFont="1" applyFill="1" applyBorder="1" applyAlignment="1">
      <alignment horizontal="center"/>
    </xf>
    <xf numFmtId="4" fontId="8" fillId="11" borderId="16" xfId="0" applyNumberFormat="1" applyFont="1" applyFill="1" applyBorder="1" applyAlignment="1">
      <alignment horizontal="center" vertical="center"/>
    </xf>
    <xf numFmtId="4" fontId="8" fillId="11" borderId="24" xfId="0" applyNumberFormat="1" applyFont="1" applyFill="1" applyBorder="1" applyAlignment="1">
      <alignment horizontal="center" vertical="center"/>
    </xf>
    <xf numFmtId="4" fontId="22" fillId="11" borderId="16" xfId="0" applyNumberFormat="1" applyFont="1" applyFill="1" applyBorder="1" applyAlignment="1">
      <alignment horizontal="center" vertical="center"/>
    </xf>
    <xf numFmtId="4" fontId="22" fillId="11" borderId="24" xfId="0" applyNumberFormat="1" applyFont="1" applyFill="1" applyBorder="1" applyAlignment="1">
      <alignment horizontal="center" vertical="center"/>
    </xf>
    <xf numFmtId="4" fontId="22" fillId="11" borderId="19" xfId="0" applyNumberFormat="1" applyFont="1" applyFill="1" applyBorder="1" applyAlignment="1">
      <alignment horizontal="center" vertical="center"/>
    </xf>
    <xf numFmtId="4" fontId="22" fillId="11" borderId="20" xfId="0" applyNumberFormat="1" applyFont="1" applyFill="1" applyBorder="1" applyAlignment="1">
      <alignment horizontal="center" vertical="center"/>
    </xf>
    <xf numFmtId="0" fontId="12" fillId="11" borderId="0" xfId="0" applyFont="1" applyFill="1" applyAlignment="1">
      <alignment horizontal="center"/>
    </xf>
    <xf numFmtId="0" fontId="22" fillId="11" borderId="54" xfId="0" applyNumberFormat="1" applyFont="1" applyFill="1" applyBorder="1" applyAlignment="1">
      <alignment horizontal="center" vertical="center"/>
    </xf>
    <xf numFmtId="0" fontId="22" fillId="11" borderId="42" xfId="0" applyNumberFormat="1" applyFont="1" applyFill="1" applyBorder="1" applyAlignment="1">
      <alignment horizontal="center" vertical="center"/>
    </xf>
    <xf numFmtId="0" fontId="22" fillId="11" borderId="55" xfId="0" applyNumberFormat="1" applyFont="1" applyFill="1" applyBorder="1" applyAlignment="1">
      <alignment horizontal="center" vertical="center"/>
    </xf>
    <xf numFmtId="0" fontId="22" fillId="11" borderId="16" xfId="0" applyNumberFormat="1" applyFont="1" applyFill="1" applyBorder="1" applyAlignment="1">
      <alignment horizontal="center" vertical="center"/>
    </xf>
    <xf numFmtId="0" fontId="22" fillId="11" borderId="18" xfId="0" applyNumberFormat="1" applyFont="1" applyFill="1" applyBorder="1" applyAlignment="1">
      <alignment horizontal="center" vertical="center"/>
    </xf>
    <xf numFmtId="0" fontId="22" fillId="11" borderId="24" xfId="0" applyNumberFormat="1" applyFont="1" applyFill="1" applyBorder="1" applyAlignment="1">
      <alignment horizontal="center" vertical="center"/>
    </xf>
    <xf numFmtId="0" fontId="22" fillId="11" borderId="17" xfId="0" applyNumberFormat="1" applyFont="1" applyFill="1" applyBorder="1" applyAlignment="1">
      <alignment horizontal="center" vertical="center" wrapText="1"/>
    </xf>
    <xf numFmtId="0" fontId="22" fillId="11" borderId="29" xfId="0" applyNumberFormat="1" applyFont="1" applyFill="1" applyBorder="1" applyAlignment="1">
      <alignment horizontal="center" vertical="center" wrapText="1"/>
    </xf>
    <xf numFmtId="0" fontId="22" fillId="11" borderId="33" xfId="0" applyNumberFormat="1" applyFont="1" applyFill="1" applyBorder="1" applyAlignment="1">
      <alignment horizontal="center" vertical="center" wrapText="1"/>
    </xf>
    <xf numFmtId="0" fontId="22" fillId="11" borderId="34" xfId="0" applyNumberFormat="1" applyFont="1" applyFill="1" applyBorder="1" applyAlignment="1">
      <alignment horizontal="center" vertical="center" wrapText="1"/>
    </xf>
    <xf numFmtId="4" fontId="22" fillId="11" borderId="16" xfId="0" applyNumberFormat="1" applyFont="1" applyFill="1" applyBorder="1" applyAlignment="1">
      <alignment horizontal="center" vertical="center" wrapText="1"/>
    </xf>
    <xf numFmtId="4" fontId="22" fillId="11" borderId="18" xfId="0" applyNumberFormat="1" applyFont="1" applyFill="1" applyBorder="1" applyAlignment="1">
      <alignment horizontal="center" vertical="center" wrapText="1"/>
    </xf>
    <xf numFmtId="4" fontId="22" fillId="11" borderId="24" xfId="0" applyNumberFormat="1" applyFont="1" applyFill="1" applyBorder="1" applyAlignment="1">
      <alignment horizontal="center" vertical="center" wrapText="1"/>
    </xf>
    <xf numFmtId="4" fontId="22" fillId="11" borderId="15" xfId="0" applyNumberFormat="1" applyFont="1" applyFill="1" applyBorder="1" applyAlignment="1">
      <alignment horizontal="center" vertical="center" wrapText="1"/>
    </xf>
    <xf numFmtId="4" fontId="22" fillId="11" borderId="26" xfId="0" applyNumberFormat="1" applyFont="1" applyFill="1" applyBorder="1" applyAlignment="1">
      <alignment horizontal="center" vertical="center" wrapText="1"/>
    </xf>
    <xf numFmtId="4" fontId="22" fillId="11" borderId="37" xfId="0" applyNumberFormat="1" applyFont="1" applyFill="1" applyBorder="1" applyAlignment="1">
      <alignment horizontal="center" vertical="center"/>
    </xf>
    <xf numFmtId="4" fontId="22" fillId="11" borderId="22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23" fillId="0" borderId="0" xfId="0" applyFont="1" applyAlignment="1">
      <alignment horizontal="right"/>
    </xf>
    <xf numFmtId="0" fontId="37" fillId="0" borderId="0" xfId="0" applyFont="1" applyAlignment="1">
      <alignment horizontal="center"/>
    </xf>
    <xf numFmtId="0" fontId="37" fillId="0" borderId="0" xfId="0" applyFont="1" applyAlignment="1">
      <alignment horizontal="right"/>
    </xf>
    <xf numFmtId="0" fontId="37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12" fillId="0" borderId="3" xfId="0" applyFont="1" applyBorder="1" applyAlignment="1">
      <alignment horizontal="center" vertical="center" wrapText="1"/>
    </xf>
    <xf numFmtId="0" fontId="37" fillId="0" borderId="4" xfId="0" applyFont="1" applyBorder="1" applyAlignment="1">
      <alignment horizontal="center" vertical="center" wrapText="1"/>
    </xf>
    <xf numFmtId="0" fontId="37" fillId="0" borderId="5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28" fillId="0" borderId="0" xfId="3" applyFont="1" applyAlignment="1">
      <alignment horizontal="left" vertical="top" wrapText="1"/>
    </xf>
    <xf numFmtId="0" fontId="20" fillId="0" borderId="0" xfId="3" applyAlignment="1">
      <alignment horizontal="left" vertical="top" wrapText="1"/>
    </xf>
    <xf numFmtId="14" fontId="7" fillId="0" borderId="1" xfId="0" applyNumberFormat="1" applyFont="1" applyBorder="1" applyAlignment="1">
      <alignment horizontal="center" vertical="center" wrapText="1"/>
    </xf>
    <xf numFmtId="0" fontId="1" fillId="0" borderId="1" xfId="2" applyFont="1" applyBorder="1" applyAlignment="1"/>
    <xf numFmtId="2" fontId="1" fillId="0" borderId="3" xfId="2" applyNumberFormat="1" applyFont="1" applyBorder="1" applyAlignment="1">
      <alignment wrapText="1"/>
    </xf>
    <xf numFmtId="2" fontId="1" fillId="0" borderId="5" xfId="2" applyNumberFormat="1" applyFont="1" applyBorder="1" applyAlignment="1">
      <alignment wrapText="1"/>
    </xf>
    <xf numFmtId="0" fontId="1" fillId="0" borderId="3" xfId="2" applyFont="1" applyBorder="1" applyAlignment="1">
      <alignment wrapText="1"/>
    </xf>
    <xf numFmtId="0" fontId="1" fillId="0" borderId="5" xfId="2" applyFont="1" applyBorder="1" applyAlignment="1">
      <alignment wrapText="1"/>
    </xf>
    <xf numFmtId="0" fontId="1" fillId="0" borderId="3" xfId="2" applyFont="1" applyBorder="1" applyAlignment="1">
      <alignment horizontal="left" vertical="center" wrapText="1"/>
    </xf>
    <xf numFmtId="0" fontId="1" fillId="0" borderId="5" xfId="2" applyFont="1" applyBorder="1" applyAlignment="1">
      <alignment horizontal="left" vertical="center" wrapText="1"/>
    </xf>
    <xf numFmtId="0" fontId="1" fillId="0" borderId="1" xfId="2" applyFont="1" applyBorder="1" applyAlignment="1">
      <alignment wrapText="1"/>
    </xf>
    <xf numFmtId="14" fontId="1" fillId="0" borderId="1" xfId="2" applyNumberFormat="1" applyFont="1" applyBorder="1" applyAlignment="1">
      <alignment wrapText="1"/>
    </xf>
    <xf numFmtId="2" fontId="7" fillId="0" borderId="35" xfId="0" applyNumberFormat="1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1" fillId="0" borderId="1" xfId="9" applyFont="1" applyBorder="1" applyAlignment="1"/>
    <xf numFmtId="0" fontId="1" fillId="0" borderId="1" xfId="9" applyFont="1" applyBorder="1" applyAlignment="1">
      <alignment wrapText="1"/>
    </xf>
    <xf numFmtId="2" fontId="1" fillId="0" borderId="1" xfId="9" applyNumberFormat="1" applyFont="1" applyBorder="1" applyAlignment="1">
      <alignment wrapText="1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0" borderId="3" xfId="17" applyNumberFormat="1" applyFont="1" applyBorder="1" applyAlignment="1">
      <alignment horizontal="right" vertical="center" wrapText="1"/>
    </xf>
    <xf numFmtId="2" fontId="1" fillId="0" borderId="5" xfId="17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14" fontId="1" fillId="0" borderId="3" xfId="0" applyNumberFormat="1" applyFont="1" applyBorder="1" applyAlignment="1">
      <alignment horizontal="justify" vertical="center" wrapText="1"/>
    </xf>
    <xf numFmtId="14" fontId="1" fillId="0" borderId="5" xfId="0" applyNumberFormat="1" applyFont="1" applyBorder="1" applyAlignment="1">
      <alignment horizontal="justify" vertical="center" wrapText="1"/>
    </xf>
    <xf numFmtId="0" fontId="7" fillId="0" borderId="5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 wrapText="1"/>
    </xf>
    <xf numFmtId="2" fontId="7" fillId="0" borderId="5" xfId="0" applyNumberFormat="1" applyFont="1" applyBorder="1" applyAlignment="1">
      <alignment horizontal="right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right" vertical="center" wrapText="1"/>
    </xf>
    <xf numFmtId="165" fontId="1" fillId="0" borderId="4" xfId="0" applyNumberFormat="1" applyFont="1" applyBorder="1" applyAlignment="1">
      <alignment horizontal="right" vertical="center" wrapText="1"/>
    </xf>
    <xf numFmtId="165" fontId="1" fillId="0" borderId="5" xfId="0" applyNumberFormat="1" applyFont="1" applyBorder="1" applyAlignment="1">
      <alignment horizontal="right" vertical="center" wrapText="1"/>
    </xf>
    <xf numFmtId="2" fontId="1" fillId="0" borderId="4" xfId="17" applyNumberFormat="1" applyFont="1" applyBorder="1" applyAlignment="1">
      <alignment horizontal="right" vertical="center" wrapText="1"/>
    </xf>
    <xf numFmtId="0" fontId="28" fillId="0" borderId="1" xfId="26" applyFont="1" applyBorder="1" applyAlignment="1">
      <alignment horizontal="left" vertical="top" wrapText="1"/>
    </xf>
    <xf numFmtId="0" fontId="20" fillId="0" borderId="1" xfId="26" applyBorder="1" applyAlignment="1">
      <alignment vertical="top" wrapText="1"/>
    </xf>
    <xf numFmtId="0" fontId="28" fillId="0" borderId="1" xfId="26" applyFont="1" applyBorder="1" applyAlignment="1">
      <alignment horizontal="center" vertical="center" wrapText="1"/>
    </xf>
    <xf numFmtId="0" fontId="28" fillId="0" borderId="1" xfId="26" applyFont="1" applyBorder="1" applyAlignment="1">
      <alignment horizontal="center" vertical="center"/>
    </xf>
    <xf numFmtId="0" fontId="27" fillId="0" borderId="1" xfId="26" applyFont="1" applyBorder="1" applyAlignment="1">
      <alignment horizontal="center" vertical="center" wrapText="1"/>
    </xf>
    <xf numFmtId="49" fontId="28" fillId="0" borderId="1" xfId="26" applyNumberFormat="1" applyFont="1" applyBorder="1" applyAlignment="1">
      <alignment horizontal="center" vertical="center" wrapText="1"/>
    </xf>
    <xf numFmtId="49" fontId="28" fillId="0" borderId="1" xfId="26" applyNumberFormat="1" applyFont="1" applyBorder="1" applyAlignment="1">
      <alignment horizontal="center" vertical="center"/>
    </xf>
    <xf numFmtId="0" fontId="26" fillId="0" borderId="1" xfId="26" applyFont="1" applyBorder="1" applyAlignment="1">
      <alignment horizontal="left" vertical="top" wrapText="1"/>
    </xf>
    <xf numFmtId="0" fontId="28" fillId="0" borderId="0" xfId="26" applyFont="1" applyAlignment="1">
      <alignment horizontal="center" vertical="top" wrapText="1"/>
    </xf>
    <xf numFmtId="0" fontId="20" fillId="0" borderId="0" xfId="26" applyAlignment="1">
      <alignment vertical="top" wrapText="1"/>
    </xf>
    <xf numFmtId="0" fontId="30" fillId="0" borderId="0" xfId="26" applyFont="1" applyAlignment="1">
      <alignment horizontal="center" vertical="top" wrapText="1"/>
    </xf>
    <xf numFmtId="0" fontId="48" fillId="0" borderId="1" xfId="26" applyFont="1" applyBorder="1" applyAlignment="1">
      <alignment horizontal="left" vertical="top" wrapText="1"/>
    </xf>
    <xf numFmtId="0" fontId="27" fillId="0" borderId="0" xfId="26" applyFont="1" applyAlignment="1">
      <alignment horizontal="right"/>
    </xf>
    <xf numFmtId="0" fontId="20" fillId="0" borderId="0" xfId="26" applyAlignment="1">
      <alignment horizontal="right"/>
    </xf>
    <xf numFmtId="0" fontId="48" fillId="0" borderId="1" xfId="26" applyFont="1" applyBorder="1" applyAlignment="1">
      <alignment horizontal="center" vertical="top"/>
    </xf>
    <xf numFmtId="0" fontId="20" fillId="0" borderId="1" xfId="26" applyBorder="1" applyAlignment="1">
      <alignment vertical="top"/>
    </xf>
    <xf numFmtId="0" fontId="1" fillId="0" borderId="0" xfId="0" applyFont="1" applyAlignment="1">
      <alignment horizontal="center"/>
    </xf>
    <xf numFmtId="0" fontId="7" fillId="0" borderId="0" xfId="0" applyFont="1" applyAlignment="1"/>
    <xf numFmtId="0" fontId="1" fillId="0" borderId="0" xfId="0" applyFont="1" applyAlignment="1"/>
    <xf numFmtId="0" fontId="1" fillId="0" borderId="3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top"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7" fillId="0" borderId="8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2" fontId="1" fillId="0" borderId="3" xfId="0" applyNumberFormat="1" applyFont="1" applyBorder="1" applyAlignment="1">
      <alignment horizontal="justify" vertical="top" wrapText="1"/>
    </xf>
    <xf numFmtId="2" fontId="1" fillId="0" borderId="5" xfId="0" applyNumberFormat="1" applyFont="1" applyBorder="1" applyAlignment="1">
      <alignment horizontal="justify" vertical="top" wrapText="1"/>
    </xf>
    <xf numFmtId="0" fontId="7" fillId="0" borderId="10" xfId="0" applyFont="1" applyBorder="1" applyAlignment="1">
      <alignment vertical="center"/>
    </xf>
    <xf numFmtId="0" fontId="7" fillId="0" borderId="4" xfId="0" applyFont="1" applyBorder="1" applyAlignment="1">
      <alignment vertical="top" wrapText="1"/>
    </xf>
    <xf numFmtId="0" fontId="7" fillId="0" borderId="8" xfId="0" applyFont="1" applyBorder="1" applyAlignment="1"/>
    <xf numFmtId="0" fontId="7" fillId="0" borderId="9" xfId="0" applyFont="1" applyBorder="1" applyAlignment="1"/>
    <xf numFmtId="0" fontId="7" fillId="0" borderId="3" xfId="0" applyFont="1" applyBorder="1" applyAlignment="1"/>
    <xf numFmtId="0" fontId="7" fillId="0" borderId="4" xfId="0" applyFont="1" applyBorder="1" applyAlignment="1"/>
    <xf numFmtId="0" fontId="7" fillId="0" borderId="5" xfId="0" applyFont="1" applyBorder="1" applyAlignment="1"/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7" fillId="0" borderId="5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41" fillId="0" borderId="3" xfId="0" applyFont="1" applyBorder="1" applyAlignment="1"/>
    <xf numFmtId="0" fontId="41" fillId="0" borderId="5" xfId="0" applyFont="1" applyBorder="1" applyAlignment="1"/>
    <xf numFmtId="2" fontId="1" fillId="0" borderId="3" xfId="0" applyNumberFormat="1" applyFont="1" applyBorder="1" applyAlignment="1">
      <alignment horizontal="right" vertical="top" wrapText="1"/>
    </xf>
    <xf numFmtId="2" fontId="1" fillId="0" borderId="5" xfId="0" applyNumberFormat="1" applyFont="1" applyBorder="1" applyAlignment="1">
      <alignment horizontal="right" vertical="top" wrapText="1"/>
    </xf>
    <xf numFmtId="0" fontId="41" fillId="0" borderId="0" xfId="0" applyFont="1" applyAlignment="1"/>
    <xf numFmtId="0" fontId="41" fillId="0" borderId="3" xfId="0" applyFont="1" applyBorder="1" applyAlignment="1">
      <alignment wrapText="1"/>
    </xf>
    <xf numFmtId="0" fontId="41" fillId="0" borderId="5" xfId="0" applyFont="1" applyBorder="1" applyAlignment="1">
      <alignment wrapText="1"/>
    </xf>
    <xf numFmtId="0" fontId="41" fillId="0" borderId="4" xfId="0" applyFont="1" applyBorder="1" applyAlignment="1"/>
    <xf numFmtId="0" fontId="41" fillId="0" borderId="4" xfId="0" applyFont="1" applyBorder="1" applyAlignment="1">
      <alignment horizontal="right" vertical="top" wrapText="1"/>
    </xf>
    <xf numFmtId="0" fontId="7" fillId="0" borderId="0" xfId="0" applyFont="1" applyAlignment="1">
      <alignment horizontal="center"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3" xfId="0" applyFont="1" applyBorder="1" applyAlignment="1"/>
    <xf numFmtId="0" fontId="1" fillId="0" borderId="5" xfId="0" applyFont="1" applyBorder="1" applyAlignment="1"/>
    <xf numFmtId="0" fontId="1" fillId="0" borderId="4" xfId="0" applyFont="1" applyBorder="1" applyAlignment="1"/>
    <xf numFmtId="49" fontId="1" fillId="0" borderId="3" xfId="0" applyNumberFormat="1" applyFont="1" applyBorder="1" applyAlignment="1">
      <alignment horizontal="justify" vertical="top" wrapText="1"/>
    </xf>
    <xf numFmtId="49" fontId="37" fillId="0" borderId="4" xfId="0" applyNumberFormat="1" applyFont="1" applyBorder="1" applyAlignment="1"/>
    <xf numFmtId="2" fontId="1" fillId="0" borderId="3" xfId="17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 wrapText="1"/>
    </xf>
    <xf numFmtId="0" fontId="7" fillId="0" borderId="35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3" fontId="1" fillId="0" borderId="3" xfId="0" applyNumberFormat="1" applyFont="1" applyBorder="1" applyAlignment="1">
      <alignment horizontal="center" vertical="center" wrapText="1"/>
    </xf>
    <xf numFmtId="166" fontId="1" fillId="0" borderId="3" xfId="0" applyNumberFormat="1" applyFont="1" applyBorder="1" applyAlignment="1">
      <alignment horizontal="center" vertical="center" wrapText="1"/>
    </xf>
    <xf numFmtId="166" fontId="1" fillId="0" borderId="5" xfId="0" applyNumberFormat="1" applyFont="1" applyBorder="1" applyAlignment="1">
      <alignment horizontal="center" vertical="center" wrapText="1"/>
    </xf>
    <xf numFmtId="2" fontId="1" fillId="0" borderId="4" xfId="17" applyNumberFormat="1" applyFont="1" applyBorder="1" applyAlignment="1">
      <alignment horizontal="center" vertical="center" wrapText="1"/>
    </xf>
    <xf numFmtId="2" fontId="1" fillId="0" borderId="5" xfId="17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1" fillId="0" borderId="3" xfId="14" applyFont="1" applyBorder="1" applyAlignment="1">
      <alignment horizontal="justify" vertical="top" wrapText="1"/>
    </xf>
    <xf numFmtId="0" fontId="21" fillId="0" borderId="5" xfId="14" applyFont="1" applyBorder="1" applyAlignment="1">
      <alignment horizontal="justify" vertical="top" wrapText="1"/>
    </xf>
    <xf numFmtId="2" fontId="21" fillId="0" borderId="3" xfId="14" applyNumberFormat="1" applyFont="1" applyBorder="1" applyAlignment="1">
      <alignment horizontal="right" vertical="top" wrapText="1"/>
    </xf>
    <xf numFmtId="2" fontId="21" fillId="0" borderId="5" xfId="14" applyNumberFormat="1" applyFont="1" applyBorder="1" applyAlignment="1">
      <alignment horizontal="right" vertical="top" wrapText="1"/>
    </xf>
    <xf numFmtId="0" fontId="9" fillId="0" borderId="0" xfId="0" applyFont="1" applyAlignment="1">
      <alignment horizontal="left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2" fontId="1" fillId="0" borderId="0" xfId="17" applyNumberFormat="1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right" wrapText="1"/>
    </xf>
    <xf numFmtId="14" fontId="1" fillId="0" borderId="3" xfId="0" applyNumberFormat="1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 wrapText="1"/>
    </xf>
    <xf numFmtId="14" fontId="1" fillId="0" borderId="5" xfId="0" applyNumberFormat="1" applyFont="1" applyBorder="1" applyAlignment="1">
      <alignment horizontal="center" vertical="center" wrapText="1"/>
    </xf>
    <xf numFmtId="43" fontId="1" fillId="0" borderId="3" xfId="17" applyFont="1" applyBorder="1" applyAlignment="1">
      <alignment horizontal="center" vertical="center" wrapText="1"/>
    </xf>
    <xf numFmtId="43" fontId="1" fillId="0" borderId="4" xfId="17" applyFont="1" applyBorder="1" applyAlignment="1">
      <alignment horizontal="center" vertical="center" wrapText="1"/>
    </xf>
    <xf numFmtId="43" fontId="1" fillId="0" borderId="5" xfId="17" applyFont="1" applyBorder="1" applyAlignment="1">
      <alignment horizontal="center" vertical="center" wrapText="1"/>
    </xf>
    <xf numFmtId="0" fontId="28" fillId="0" borderId="1" xfId="28" applyFont="1" applyBorder="1" applyAlignment="1">
      <alignment horizontal="center" vertical="center" wrapText="1"/>
    </xf>
    <xf numFmtId="0" fontId="28" fillId="0" borderId="1" xfId="28" applyFont="1" applyBorder="1" applyAlignment="1">
      <alignment horizontal="center" vertical="center"/>
    </xf>
    <xf numFmtId="0" fontId="27" fillId="0" borderId="1" xfId="28" applyFont="1" applyBorder="1" applyAlignment="1">
      <alignment horizontal="center" vertical="center" wrapText="1"/>
    </xf>
    <xf numFmtId="49" fontId="28" fillId="0" borderId="1" xfId="28" applyNumberFormat="1" applyFont="1" applyBorder="1" applyAlignment="1">
      <alignment horizontal="center" vertical="center" wrapText="1"/>
    </xf>
    <xf numFmtId="49" fontId="28" fillId="0" borderId="1" xfId="28" applyNumberFormat="1" applyFont="1" applyBorder="1" applyAlignment="1">
      <alignment horizontal="center" vertical="center"/>
    </xf>
    <xf numFmtId="0" fontId="28" fillId="0" borderId="1" xfId="28" applyFont="1" applyBorder="1" applyAlignment="1">
      <alignment horizontal="left" vertical="top" wrapText="1"/>
    </xf>
    <xf numFmtId="0" fontId="20" fillId="0" borderId="1" xfId="28" applyBorder="1" applyAlignment="1">
      <alignment vertical="top" wrapText="1"/>
    </xf>
    <xf numFmtId="0" fontId="48" fillId="0" borderId="1" xfId="28" applyFont="1" applyBorder="1" applyAlignment="1">
      <alignment horizontal="center" vertical="top"/>
    </xf>
    <xf numFmtId="0" fontId="20" fillId="0" borderId="1" xfId="28" applyBorder="1" applyAlignment="1">
      <alignment vertical="top"/>
    </xf>
    <xf numFmtId="0" fontId="48" fillId="0" borderId="1" xfId="28" applyFont="1" applyBorder="1" applyAlignment="1">
      <alignment horizontal="left" vertical="top" wrapText="1"/>
    </xf>
    <xf numFmtId="0" fontId="26" fillId="0" borderId="1" xfId="27" applyFont="1" applyBorder="1" applyAlignment="1">
      <alignment horizontal="left" vertical="top" wrapText="1"/>
    </xf>
    <xf numFmtId="0" fontId="20" fillId="0" borderId="1" xfId="27" applyBorder="1" applyAlignment="1">
      <alignment vertical="top" wrapText="1"/>
    </xf>
    <xf numFmtId="0" fontId="28" fillId="0" borderId="1" xfId="27" applyFont="1" applyBorder="1" applyAlignment="1">
      <alignment horizontal="center" vertical="center" wrapText="1"/>
    </xf>
    <xf numFmtId="0" fontId="28" fillId="0" borderId="1" xfId="27" applyFont="1" applyBorder="1" applyAlignment="1">
      <alignment horizontal="center" vertical="center"/>
    </xf>
    <xf numFmtId="0" fontId="27" fillId="0" borderId="1" xfId="27" applyFont="1" applyBorder="1" applyAlignment="1">
      <alignment horizontal="center" vertical="center" wrapText="1"/>
    </xf>
    <xf numFmtId="49" fontId="28" fillId="0" borderId="1" xfId="27" applyNumberFormat="1" applyFont="1" applyBorder="1" applyAlignment="1">
      <alignment horizontal="center" vertical="center" wrapText="1"/>
    </xf>
    <xf numFmtId="49" fontId="28" fillId="0" borderId="1" xfId="27" applyNumberFormat="1" applyFont="1" applyBorder="1" applyAlignment="1">
      <alignment horizontal="center" vertical="center"/>
    </xf>
    <xf numFmtId="0" fontId="48" fillId="0" borderId="1" xfId="27" applyFont="1" applyBorder="1" applyAlignment="1">
      <alignment horizontal="center" vertical="top"/>
    </xf>
    <xf numFmtId="0" fontId="20" fillId="0" borderId="1" xfId="27" applyBorder="1" applyAlignment="1">
      <alignment vertical="top"/>
    </xf>
    <xf numFmtId="0" fontId="28" fillId="0" borderId="1" xfId="27" applyFont="1" applyBorder="1" applyAlignment="1">
      <alignment horizontal="left" vertical="top" wrapText="1"/>
    </xf>
    <xf numFmtId="0" fontId="27" fillId="0" borderId="0" xfId="27" applyFont="1" applyAlignment="1">
      <alignment horizontal="right"/>
    </xf>
    <xf numFmtId="0" fontId="20" fillId="0" borderId="0" xfId="27" applyAlignment="1">
      <alignment horizontal="right"/>
    </xf>
    <xf numFmtId="0" fontId="48" fillId="0" borderId="1" xfId="27" applyFont="1" applyBorder="1" applyAlignment="1">
      <alignment horizontal="left" vertical="top" wrapText="1"/>
    </xf>
    <xf numFmtId="0" fontId="27" fillId="0" borderId="0" xfId="28" applyFont="1" applyAlignment="1">
      <alignment horizontal="right"/>
    </xf>
    <xf numFmtId="0" fontId="20" fillId="0" borderId="0" xfId="28" applyAlignment="1">
      <alignment horizontal="right"/>
    </xf>
    <xf numFmtId="0" fontId="26" fillId="0" borderId="1" xfId="28" applyFont="1" applyBorder="1" applyAlignment="1">
      <alignment horizontal="left" vertical="top" wrapText="1"/>
    </xf>
    <xf numFmtId="0" fontId="1" fillId="0" borderId="4" xfId="0" applyFont="1" applyBorder="1" applyAlignment="1">
      <alignment horizontal="justify" vertical="top" wrapText="1"/>
    </xf>
    <xf numFmtId="2" fontId="1" fillId="0" borderId="4" xfId="0" applyNumberFormat="1" applyFont="1" applyBorder="1" applyAlignment="1">
      <alignment horizontal="justify" vertical="top" wrapText="1"/>
    </xf>
    <xf numFmtId="0" fontId="7" fillId="0" borderId="0" xfId="0" applyFont="1" applyBorder="1" applyAlignment="1">
      <alignment horizontal="center"/>
    </xf>
    <xf numFmtId="0" fontId="1" fillId="0" borderId="3" xfId="15" applyFont="1" applyBorder="1" applyAlignment="1">
      <alignment horizontal="justify" vertical="top" wrapText="1"/>
    </xf>
    <xf numFmtId="0" fontId="1" fillId="0" borderId="5" xfId="15" applyFont="1" applyBorder="1" applyAlignment="1">
      <alignment horizontal="justify" vertical="top" wrapText="1"/>
    </xf>
    <xf numFmtId="2" fontId="1" fillId="0" borderId="3" xfId="15" applyNumberFormat="1" applyFont="1" applyBorder="1" applyAlignment="1">
      <alignment horizontal="justify" vertical="top" wrapText="1"/>
    </xf>
    <xf numFmtId="2" fontId="1" fillId="0" borderId="5" xfId="15" applyNumberFormat="1" applyFont="1" applyBorder="1" applyAlignment="1">
      <alignment horizontal="justify" vertical="top" wrapText="1"/>
    </xf>
    <xf numFmtId="0" fontId="1" fillId="0" borderId="4" xfId="15" applyFont="1" applyBorder="1" applyAlignment="1">
      <alignment horizontal="justify" vertical="top" wrapText="1"/>
    </xf>
    <xf numFmtId="2" fontId="1" fillId="0" borderId="4" xfId="15" applyNumberFormat="1" applyFont="1" applyBorder="1" applyAlignment="1">
      <alignment horizontal="justify" vertical="top" wrapText="1"/>
    </xf>
    <xf numFmtId="0" fontId="1" fillId="0" borderId="3" xfId="15" applyFont="1" applyBorder="1" applyAlignment="1">
      <alignment horizontal="left" vertical="top" wrapText="1"/>
    </xf>
    <xf numFmtId="0" fontId="1" fillId="0" borderId="5" xfId="15" applyFont="1" applyBorder="1" applyAlignment="1">
      <alignment horizontal="left" vertical="top" wrapText="1"/>
    </xf>
    <xf numFmtId="0" fontId="1" fillId="0" borderId="3" xfId="15" applyFont="1" applyFill="1" applyBorder="1" applyAlignment="1">
      <alignment horizontal="justify" vertical="top" wrapText="1"/>
    </xf>
    <xf numFmtId="0" fontId="1" fillId="0" borderId="4" xfId="15" applyFont="1" applyFill="1" applyBorder="1" applyAlignment="1">
      <alignment horizontal="justify" vertical="top" wrapText="1"/>
    </xf>
    <xf numFmtId="0" fontId="1" fillId="0" borderId="5" xfId="15" applyFont="1" applyFill="1" applyBorder="1" applyAlignment="1">
      <alignment horizontal="justify" vertical="top" wrapText="1"/>
    </xf>
    <xf numFmtId="0" fontId="1" fillId="0" borderId="0" xfId="0" applyFont="1" applyAlignment="1">
      <alignment horizontal="left" vertical="center"/>
    </xf>
    <xf numFmtId="0" fontId="21" fillId="0" borderId="3" xfId="16" applyFont="1" applyBorder="1" applyAlignment="1">
      <alignment horizontal="justify" vertical="top" wrapText="1"/>
    </xf>
    <xf numFmtId="0" fontId="21" fillId="0" borderId="5" xfId="16" applyFont="1" applyBorder="1" applyAlignment="1">
      <alignment horizontal="justify" vertical="top" wrapText="1"/>
    </xf>
    <xf numFmtId="0" fontId="21" fillId="0" borderId="3" xfId="16" applyFont="1" applyBorder="1" applyAlignment="1">
      <alignment horizontal="justify" vertical="justify" wrapText="1"/>
    </xf>
    <xf numFmtId="0" fontId="21" fillId="0" borderId="4" xfId="16" applyFont="1" applyBorder="1" applyAlignment="1">
      <alignment horizontal="justify" vertical="justify" wrapText="1"/>
    </xf>
    <xf numFmtId="0" fontId="21" fillId="0" borderId="5" xfId="16" applyFont="1" applyBorder="1" applyAlignment="1">
      <alignment horizontal="justify" vertical="justify" wrapText="1"/>
    </xf>
    <xf numFmtId="0" fontId="1" fillId="0" borderId="3" xfId="16" applyFont="1" applyBorder="1" applyAlignment="1">
      <alignment vertical="top" wrapText="1"/>
    </xf>
    <xf numFmtId="0" fontId="20" fillId="0" borderId="5" xfId="16" applyBorder="1" applyAlignment="1">
      <alignment vertical="top" wrapText="1"/>
    </xf>
    <xf numFmtId="2" fontId="1" fillId="0" borderId="4" xfId="0" applyNumberFormat="1" applyFont="1" applyBorder="1" applyAlignment="1">
      <alignment horizontal="right" vertical="top" wrapText="1"/>
    </xf>
    <xf numFmtId="165" fontId="1" fillId="0" borderId="3" xfId="0" applyNumberFormat="1" applyFont="1" applyBorder="1" applyAlignment="1">
      <alignment horizontal="justify" vertical="top" wrapText="1"/>
    </xf>
    <xf numFmtId="165" fontId="1" fillId="0" borderId="4" xfId="0" applyNumberFormat="1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2" fontId="1" fillId="0" borderId="1" xfId="0" applyNumberFormat="1" applyFont="1" applyBorder="1" applyAlignment="1">
      <alignment horizontal="right" vertical="top" wrapText="1"/>
    </xf>
    <xf numFmtId="0" fontId="27" fillId="0" borderId="0" xfId="29" applyFont="1" applyAlignment="1">
      <alignment horizontal="right"/>
    </xf>
    <xf numFmtId="0" fontId="20" fillId="0" borderId="0" xfId="29" applyAlignment="1">
      <alignment horizontal="right"/>
    </xf>
    <xf numFmtId="0" fontId="28" fillId="0" borderId="1" xfId="29" applyFont="1" applyBorder="1" applyAlignment="1">
      <alignment horizontal="left" vertical="top" wrapText="1"/>
    </xf>
    <xf numFmtId="0" fontId="20" fillId="0" borderId="1" xfId="29" applyBorder="1" applyAlignment="1">
      <alignment vertical="top" wrapText="1"/>
    </xf>
    <xf numFmtId="0" fontId="48" fillId="0" borderId="1" xfId="29" applyFont="1" applyBorder="1" applyAlignment="1">
      <alignment horizontal="center" vertical="top"/>
    </xf>
    <xf numFmtId="0" fontId="20" fillId="0" borderId="1" xfId="29" applyBorder="1" applyAlignment="1">
      <alignment vertical="top"/>
    </xf>
    <xf numFmtId="0" fontId="26" fillId="0" borderId="1" xfId="29" applyFont="1" applyBorder="1" applyAlignment="1">
      <alignment horizontal="left" vertical="top" wrapText="1"/>
    </xf>
    <xf numFmtId="0" fontId="48" fillId="0" borderId="1" xfId="29" applyFont="1" applyBorder="1" applyAlignment="1">
      <alignment horizontal="left" vertical="top" wrapText="1"/>
    </xf>
    <xf numFmtId="0" fontId="28" fillId="0" borderId="1" xfId="29" applyFont="1" applyBorder="1" applyAlignment="1">
      <alignment horizontal="center" vertical="center" wrapText="1"/>
    </xf>
    <xf numFmtId="0" fontId="28" fillId="0" borderId="1" xfId="29" applyFont="1" applyBorder="1" applyAlignment="1">
      <alignment horizontal="center" vertical="center"/>
    </xf>
    <xf numFmtId="0" fontId="27" fillId="0" borderId="1" xfId="29" applyFont="1" applyBorder="1" applyAlignment="1">
      <alignment horizontal="center" vertical="center" wrapText="1"/>
    </xf>
    <xf numFmtId="49" fontId="28" fillId="0" borderId="1" xfId="29" applyNumberFormat="1" applyFont="1" applyBorder="1" applyAlignment="1">
      <alignment horizontal="center" vertical="center" wrapText="1"/>
    </xf>
    <xf numFmtId="49" fontId="28" fillId="0" borderId="1" xfId="29" applyNumberFormat="1" applyFont="1" applyBorder="1" applyAlignment="1">
      <alignment horizontal="center" vertical="center"/>
    </xf>
    <xf numFmtId="0" fontId="33" fillId="0" borderId="2" xfId="20" applyFont="1" applyBorder="1" applyAlignment="1">
      <alignment horizontal="right" vertical="top" wrapText="1"/>
    </xf>
    <xf numFmtId="0" fontId="41" fillId="0" borderId="6" xfId="0" applyFont="1" applyBorder="1" applyAlignment="1">
      <alignment horizontal="right" vertical="top" wrapText="1"/>
    </xf>
    <xf numFmtId="0" fontId="41" fillId="0" borderId="7" xfId="0" applyFont="1" applyBorder="1" applyAlignment="1">
      <alignment horizontal="right" vertical="top" wrapText="1"/>
    </xf>
    <xf numFmtId="0" fontId="6" fillId="0" borderId="1" xfId="20" applyFont="1" applyBorder="1" applyAlignment="1">
      <alignment horizontal="center" vertical="center" wrapText="1"/>
    </xf>
    <xf numFmtId="0" fontId="6" fillId="0" borderId="1" xfId="20" applyFont="1" applyBorder="1" applyAlignment="1">
      <alignment horizontal="center" vertical="center"/>
    </xf>
    <xf numFmtId="0" fontId="6" fillId="0" borderId="1" xfId="20" applyFont="1" applyBorder="1" applyAlignment="1">
      <alignment horizontal="left" vertical="top" wrapText="1"/>
    </xf>
    <xf numFmtId="0" fontId="1" fillId="0" borderId="1" xfId="20" applyFont="1" applyBorder="1" applyAlignment="1">
      <alignment vertical="top" wrapText="1"/>
    </xf>
    <xf numFmtId="0" fontId="12" fillId="0" borderId="1" xfId="20" applyFont="1" applyBorder="1" applyAlignment="1">
      <alignment horizontal="left" vertical="top" wrapText="1"/>
    </xf>
    <xf numFmtId="0" fontId="33" fillId="0" borderId="1" xfId="20" applyFont="1" applyBorder="1" applyAlignment="1">
      <alignment horizontal="left" vertical="top" wrapText="1"/>
    </xf>
    <xf numFmtId="0" fontId="33" fillId="0" borderId="1" xfId="20" applyFont="1" applyBorder="1" applyAlignment="1">
      <alignment horizontal="center" vertical="top"/>
    </xf>
    <xf numFmtId="0" fontId="1" fillId="0" borderId="1" xfId="20" applyFont="1" applyBorder="1" applyAlignment="1">
      <alignment vertical="top"/>
    </xf>
    <xf numFmtId="49" fontId="6" fillId="0" borderId="1" xfId="20" applyNumberFormat="1" applyFont="1" applyBorder="1" applyAlignment="1">
      <alignment horizontal="center" vertical="center" wrapText="1"/>
    </xf>
    <xf numFmtId="49" fontId="6" fillId="0" borderId="1" xfId="20" applyNumberFormat="1" applyFont="1" applyBorder="1" applyAlignment="1">
      <alignment horizontal="center" vertical="center"/>
    </xf>
    <xf numFmtId="0" fontId="1" fillId="0" borderId="0" xfId="20" applyFont="1" applyAlignment="1">
      <alignment horizontal="right"/>
    </xf>
    <xf numFmtId="0" fontId="1" fillId="0" borderId="1" xfId="2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right" vertical="center"/>
    </xf>
    <xf numFmtId="0" fontId="41" fillId="0" borderId="6" xfId="0" applyFont="1" applyBorder="1" applyAlignment="1">
      <alignment horizontal="right"/>
    </xf>
    <xf numFmtId="0" fontId="41" fillId="0" borderId="53" xfId="0" applyFont="1" applyBorder="1" applyAlignment="1">
      <alignment horizontal="right"/>
    </xf>
    <xf numFmtId="0" fontId="44" fillId="11" borderId="15" xfId="0" applyFont="1" applyFill="1" applyBorder="1" applyAlignment="1">
      <alignment horizontal="center" wrapText="1"/>
    </xf>
    <xf numFmtId="0" fontId="44" fillId="11" borderId="26" xfId="0" applyFont="1" applyFill="1" applyBorder="1" applyAlignment="1">
      <alignment horizontal="center" wrapText="1"/>
    </xf>
    <xf numFmtId="43" fontId="44" fillId="0" borderId="15" xfId="0" applyNumberFormat="1" applyFont="1" applyBorder="1" applyAlignment="1">
      <alignment wrapText="1"/>
    </xf>
    <xf numFmtId="0" fontId="41" fillId="0" borderId="26" xfId="0" applyFont="1" applyBorder="1" applyAlignment="1">
      <alignment wrapText="1"/>
    </xf>
    <xf numFmtId="0" fontId="27" fillId="0" borderId="0" xfId="30" applyFont="1" applyAlignment="1">
      <alignment horizontal="right"/>
    </xf>
    <xf numFmtId="0" fontId="20" fillId="0" borderId="0" xfId="30" applyAlignment="1">
      <alignment horizontal="right"/>
    </xf>
    <xf numFmtId="0" fontId="28" fillId="0" borderId="1" xfId="30" applyFont="1" applyBorder="1" applyAlignment="1">
      <alignment horizontal="left" vertical="top" wrapText="1"/>
    </xf>
    <xf numFmtId="0" fontId="20" fillId="0" borderId="1" xfId="30" applyBorder="1" applyAlignment="1">
      <alignment vertical="top" wrapText="1"/>
    </xf>
    <xf numFmtId="0" fontId="48" fillId="0" borderId="1" xfId="30" applyFont="1" applyBorder="1" applyAlignment="1">
      <alignment horizontal="left" vertical="top" wrapText="1"/>
    </xf>
    <xf numFmtId="0" fontId="28" fillId="0" borderId="1" xfId="30" applyFont="1" applyBorder="1" applyAlignment="1">
      <alignment horizontal="center" vertical="center" wrapText="1"/>
    </xf>
    <xf numFmtId="0" fontId="28" fillId="0" borderId="1" xfId="30" applyFont="1" applyBorder="1" applyAlignment="1">
      <alignment horizontal="center" vertical="center"/>
    </xf>
    <xf numFmtId="0" fontId="27" fillId="0" borderId="1" xfId="30" applyFont="1" applyBorder="1" applyAlignment="1">
      <alignment horizontal="center" vertical="center" wrapText="1"/>
    </xf>
    <xf numFmtId="49" fontId="28" fillId="0" borderId="1" xfId="30" applyNumberFormat="1" applyFont="1" applyBorder="1" applyAlignment="1">
      <alignment horizontal="center" vertical="center" wrapText="1"/>
    </xf>
    <xf numFmtId="49" fontId="28" fillId="0" borderId="1" xfId="30" applyNumberFormat="1" applyFont="1" applyBorder="1" applyAlignment="1">
      <alignment horizontal="center" vertical="center"/>
    </xf>
    <xf numFmtId="0" fontId="26" fillId="0" borderId="1" xfId="30" applyFont="1" applyBorder="1" applyAlignment="1">
      <alignment horizontal="left" vertical="top" wrapText="1"/>
    </xf>
    <xf numFmtId="0" fontId="48" fillId="0" borderId="1" xfId="30" applyFont="1" applyBorder="1" applyAlignment="1">
      <alignment horizontal="center" vertical="top"/>
    </xf>
    <xf numFmtId="0" fontId="20" fillId="0" borderId="1" xfId="30" applyBorder="1" applyAlignment="1">
      <alignment vertical="top"/>
    </xf>
    <xf numFmtId="0" fontId="20" fillId="0" borderId="2" xfId="30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29" fillId="0" borderId="2" xfId="30" applyFont="1" applyBorder="1" applyAlignment="1">
      <alignment horizontal="right" vertical="top" wrapText="1"/>
    </xf>
    <xf numFmtId="0" fontId="29" fillId="0" borderId="6" xfId="30" applyFont="1" applyBorder="1" applyAlignment="1">
      <alignment horizontal="right" vertical="top" wrapText="1"/>
    </xf>
    <xf numFmtId="0" fontId="29" fillId="0" borderId="7" xfId="30" applyFont="1" applyBorder="1" applyAlignment="1">
      <alignment horizontal="right" vertical="top" wrapText="1"/>
    </xf>
    <xf numFmtId="0" fontId="43" fillId="0" borderId="16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center" vertical="center" wrapText="1"/>
    </xf>
    <xf numFmtId="0" fontId="36" fillId="0" borderId="16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center" vertical="center" wrapText="1"/>
    </xf>
    <xf numFmtId="0" fontId="43" fillId="0" borderId="29" xfId="0" applyFont="1" applyBorder="1" applyAlignment="1">
      <alignment horizontal="center" vertical="center" wrapText="1"/>
    </xf>
    <xf numFmtId="0" fontId="43" fillId="0" borderId="34" xfId="0" applyFont="1" applyBorder="1" applyAlignment="1">
      <alignment horizontal="center" vertical="center" wrapText="1"/>
    </xf>
    <xf numFmtId="0" fontId="43" fillId="0" borderId="16" xfId="0" applyFont="1" applyBorder="1" applyAlignment="1">
      <alignment horizontal="center" vertical="center"/>
    </xf>
    <xf numFmtId="0" fontId="43" fillId="0" borderId="24" xfId="0" applyFont="1" applyBorder="1" applyAlignment="1">
      <alignment horizontal="center" vertical="center"/>
    </xf>
    <xf numFmtId="4" fontId="22" fillId="0" borderId="16" xfId="0" applyNumberFormat="1" applyFont="1" applyFill="1" applyBorder="1" applyAlignment="1">
      <alignment horizontal="center" vertical="center"/>
    </xf>
    <xf numFmtId="4" fontId="22" fillId="0" borderId="24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2" fontId="6" fillId="0" borderId="3" xfId="0" applyNumberFormat="1" applyFont="1" applyBorder="1" applyAlignment="1">
      <alignment vertical="top" wrapText="1"/>
    </xf>
    <xf numFmtId="0" fontId="42" fillId="0" borderId="5" xfId="0" applyFont="1" applyBorder="1" applyAlignment="1">
      <alignment vertical="top" wrapText="1"/>
    </xf>
    <xf numFmtId="0" fontId="42" fillId="0" borderId="0" xfId="0" applyFont="1" applyAlignment="1">
      <alignment horizontal="center"/>
    </xf>
    <xf numFmtId="0" fontId="4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2" fillId="0" borderId="3" xfId="0" applyFont="1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7" fillId="0" borderId="0" xfId="0" applyFont="1" applyAlignment="1">
      <alignment horizontal="right" wrapText="1"/>
    </xf>
    <xf numFmtId="0" fontId="6" fillId="0" borderId="4" xfId="0" applyFont="1" applyBorder="1" applyAlignment="1">
      <alignment vertical="top" wrapText="1"/>
    </xf>
    <xf numFmtId="0" fontId="6" fillId="0" borderId="3" xfId="0" applyFont="1" applyBorder="1" applyAlignment="1">
      <alignment horizontal="justify" vertical="top" wrapText="1"/>
    </xf>
    <xf numFmtId="0" fontId="42" fillId="0" borderId="4" xfId="0" applyFont="1" applyBorder="1" applyAlignment="1">
      <alignment vertical="top" wrapText="1"/>
    </xf>
    <xf numFmtId="0" fontId="67" fillId="18" borderId="0" xfId="0" applyFont="1" applyFill="1" applyBorder="1"/>
  </cellXfs>
  <cellStyles count="31">
    <cellStyle name="Денежный" xfId="1" builtinId="4"/>
    <cellStyle name="Обычный" xfId="0" builtinId="0"/>
    <cellStyle name="Обычный 10" xfId="24"/>
    <cellStyle name="Обычный 11" xfId="2"/>
    <cellStyle name="Обычный 12" xfId="3"/>
    <cellStyle name="Обычный 13" xfId="25"/>
    <cellStyle name="Обычный 14" xfId="29"/>
    <cellStyle name="Обычный 15" xfId="4"/>
    <cellStyle name="Обычный 16" xfId="5"/>
    <cellStyle name="Обычный 17" xfId="6"/>
    <cellStyle name="Обычный 18" xfId="7"/>
    <cellStyle name="Обычный 19" xfId="8"/>
    <cellStyle name="Обычный 2" xfId="9"/>
    <cellStyle name="Обычный 20" xfId="10"/>
    <cellStyle name="Обычный 21" xfId="26"/>
    <cellStyle name="Обычный 22" xfId="11"/>
    <cellStyle name="Обычный 23" xfId="12"/>
    <cellStyle name="Обычный 24" xfId="27"/>
    <cellStyle name="Обычный 25" xfId="13"/>
    <cellStyle name="Обычный 26" xfId="28"/>
    <cellStyle name="Обычный 27" xfId="30"/>
    <cellStyle name="Обычный 3" xfId="20"/>
    <cellStyle name="Обычный 4" xfId="14"/>
    <cellStyle name="Обычный 5" xfId="21"/>
    <cellStyle name="Обычный 6" xfId="15"/>
    <cellStyle name="Обычный 7" xfId="16"/>
    <cellStyle name="Обычный 8" xfId="22"/>
    <cellStyle name="Обычный 9" xfId="23"/>
    <cellStyle name="Финансовый" xfId="17" builtinId="3"/>
    <cellStyle name="Финансовый 4" xfId="18"/>
    <cellStyle name="яц" xfId="1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1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ya_belyanin/&#1056;&#1072;&#1073;&#1086;&#1095;&#1080;&#1081;%20&#1089;&#1090;&#1086;&#1083;/2014%20&#1075;&#1086;&#1076;/&#1084;&#1080;&#1085;&#1076;&#1086;&#1074;&#1089;&#1082;&#1080;&#1081;%20&#1080;%20&#1087;&#1072;&#1088;&#1082;&#1080;/&#1050;&#1086;&#1087;&#1080;&#1103;%20&#1050;&#1086;&#1087;&#1080;&#1103;%20&#1054;&#1047;&#1045;&#105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ya_belyanin/&#1056;&#1072;&#1073;&#1086;&#1095;&#1080;&#1081;%20&#1089;&#1090;&#1086;&#1083;/2014%20&#1075;&#1086;&#1076;/&#1084;&#1080;&#1085;&#1076;&#1086;&#1074;&#1089;&#1082;&#1080;&#1081;%20&#1080;%20&#1087;&#1072;&#1088;&#1082;&#1080;/&#1050;&#1086;&#1087;&#1080;&#1103;%20&#1072;&#1085;&#1076;&#1088;&#1086;&#1085;.%20&#1087;&#1088;&#1091;&#1076;&#1099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ya_belyanin/&#1056;&#1072;&#1073;&#1086;&#1095;&#1080;&#1081;%20&#1089;&#1090;&#1086;&#1083;/2014%20&#1075;&#1086;&#1076;/&#1084;&#1080;&#1085;&#1076;&#1086;&#1074;&#1089;&#1082;&#1080;&#1081;%20&#1080;%20&#1087;&#1072;&#1088;&#1082;&#1080;/&#1050;&#1086;&#1087;&#1080;&#1103;%20&#1087;&#1072;&#1088;&#1082;%20&#1087;&#1086;&#1073;&#1077;&#1076;&#109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збивка (со снижением)"/>
      <sheetName val="разбивка пол"/>
      <sheetName val="разбивка 2014  (2)"/>
      <sheetName val="разбивка 2015"/>
      <sheetName val="разбивка 2014 "/>
      <sheetName val="Аукцион "/>
      <sheetName val="расчет стоимости"/>
      <sheetName val="стоимость сод. Аукцион год."/>
      <sheetName val="перечень расценок"/>
      <sheetName val="ФОТ"/>
      <sheetName val="ресурсы"/>
      <sheetName val="к. 15 Асф.покрытие"/>
      <sheetName val="к.17 Плит.покрытие"/>
      <sheetName val="к.5 Урны в центре"/>
      <sheetName val="к.19,22 Газоны"/>
      <sheetName val="к.20,23 Газоны"/>
      <sheetName val="к.24 Кошение мотор."/>
      <sheetName val="к. 25 Кошение тр."/>
      <sheetName val="к.26,27,28 Кустарники"/>
      <sheetName val="к.31,33Живая изгородь не колюч."/>
      <sheetName val="к.30,32 Живая изгородь колюч."/>
      <sheetName val="к.34,35,36,37,38,40  Однолет."/>
      <sheetName val="к. 39 Многолетники"/>
      <sheetName val="к.43,44 Покраска"/>
      <sheetName val="к.11 Рыхление"/>
      <sheetName val="к.3 Дорожки зима"/>
      <sheetName val="к.7Скамьи"/>
      <sheetName val="к.4 Ручная очистка дорог"/>
      <sheetName val="к.6  Урны на проч."/>
      <sheetName val="к.9  Памятники"/>
      <sheetName val="к. 29 Деревья"/>
      <sheetName val="посад амп.петун."/>
      <sheetName val="покр. констр."/>
      <sheetName val="засыпка чаш"/>
      <sheetName val="прополка инерт мат."/>
      <sheetName val="Мойка метал поверхн."/>
      <sheetName val="луковичные"/>
      <sheetName val="посадка в шары"/>
      <sheetName val="вазоны вертикальное озелен.42"/>
      <sheetName val="конструкции вертик озеленение"/>
      <sheetName val="Лист1"/>
    </sheetNames>
    <sheetDataSet>
      <sheetData sheetId="0"/>
      <sheetData sheetId="1"/>
      <sheetData sheetId="2"/>
      <sheetData sheetId="3"/>
      <sheetData sheetId="4"/>
      <sheetData sheetId="5">
        <row r="28">
          <cell r="AA28">
            <v>6742.5</v>
          </cell>
          <cell r="AQ28">
            <v>72203.740000000005</v>
          </cell>
          <cell r="AV28">
            <v>33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асчет"/>
      <sheetName val="Фот"/>
    </sheetNames>
    <sheetDataSet>
      <sheetData sheetId="0">
        <row r="25">
          <cell r="J25">
            <v>261114.13</v>
          </cell>
        </row>
        <row r="32">
          <cell r="J32">
            <v>10804.591250220001</v>
          </cell>
        </row>
        <row r="50">
          <cell r="J50">
            <v>193705.54</v>
          </cell>
        </row>
        <row r="57">
          <cell r="J57">
            <v>9626.2416245320001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Расчет"/>
      <sheetName val="Фот"/>
    </sheetNames>
    <sheetDataSet>
      <sheetData sheetId="0">
        <row r="27">
          <cell r="J27">
            <v>444764.39</v>
          </cell>
        </row>
        <row r="38">
          <cell r="J38">
            <v>381205.99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BB24"/>
  <sheetViews>
    <sheetView workbookViewId="0">
      <selection activeCell="H13" sqref="H13"/>
    </sheetView>
  </sheetViews>
  <sheetFormatPr defaultRowHeight="15"/>
  <cols>
    <col min="1" max="1" width="11.7109375" customWidth="1"/>
    <col min="2" max="3" width="11.42578125" bestFit="1" customWidth="1"/>
    <col min="5" max="5" width="12.5703125" customWidth="1"/>
    <col min="8" max="8" width="10" bestFit="1" customWidth="1"/>
    <col min="9" max="9" width="11" customWidth="1"/>
    <col min="13" max="13" width="10" bestFit="1" customWidth="1"/>
    <col min="15" max="15" width="10" bestFit="1" customWidth="1"/>
    <col min="17" max="17" width="10.42578125" bestFit="1" customWidth="1"/>
    <col min="19" max="19" width="9.5703125" bestFit="1" customWidth="1"/>
    <col min="21" max="21" width="12.140625" bestFit="1" customWidth="1"/>
    <col min="22" max="22" width="9.5703125" bestFit="1" customWidth="1"/>
    <col min="24" max="24" width="10" bestFit="1" customWidth="1"/>
    <col min="26" max="26" width="10.42578125" bestFit="1" customWidth="1"/>
    <col min="28" max="28" width="10" bestFit="1" customWidth="1"/>
    <col min="30" max="30" width="11.28515625" bestFit="1" customWidth="1"/>
    <col min="32" max="32" width="11.28515625" bestFit="1" customWidth="1"/>
    <col min="36" max="36" width="9.5703125" bestFit="1" customWidth="1"/>
    <col min="38" max="38" width="12.7109375" customWidth="1"/>
    <col min="39" max="41" width="9.140625" hidden="1" customWidth="1"/>
    <col min="42" max="42" width="9" hidden="1" customWidth="1"/>
    <col min="43" max="43" width="7.140625" hidden="1" customWidth="1"/>
    <col min="44" max="44" width="7.7109375" hidden="1" customWidth="1"/>
    <col min="45" max="45" width="8.42578125" hidden="1" customWidth="1"/>
    <col min="46" max="46" width="13.5703125" hidden="1" customWidth="1"/>
  </cols>
  <sheetData>
    <row r="4" spans="1:54">
      <c r="A4" s="1074" t="s">
        <v>938</v>
      </c>
      <c r="B4" s="1074"/>
      <c r="C4" s="1074"/>
      <c r="D4" s="1074"/>
      <c r="E4" s="1074"/>
      <c r="F4" s="1074"/>
      <c r="G4" s="1074"/>
      <c r="H4" s="1074"/>
      <c r="I4" s="1074"/>
      <c r="J4" s="1074"/>
      <c r="K4" s="1074"/>
      <c r="L4" s="1074"/>
      <c r="M4" s="1074"/>
      <c r="N4" s="1074"/>
      <c r="O4" s="1074"/>
      <c r="P4" s="1074"/>
      <c r="Q4" s="1074"/>
      <c r="R4" s="1074"/>
      <c r="S4" s="1074"/>
      <c r="T4" s="1074"/>
      <c r="U4" s="1074"/>
      <c r="V4" s="1074"/>
      <c r="W4" s="1074"/>
      <c r="X4" s="1074"/>
      <c r="Y4" s="1074"/>
      <c r="Z4" s="1074"/>
      <c r="AA4" s="1074"/>
      <c r="AB4" s="1074"/>
      <c r="AC4" s="1074"/>
      <c r="AD4" s="1074"/>
      <c r="AE4" s="1074"/>
      <c r="AF4" s="1074"/>
      <c r="AG4" s="1074"/>
      <c r="AH4" s="1074"/>
      <c r="AI4" s="1074"/>
      <c r="AJ4" s="1074"/>
      <c r="AK4" s="1074"/>
      <c r="AL4" s="1074"/>
    </row>
    <row r="5" spans="1:54" ht="15.75" thickBot="1">
      <c r="A5" s="171"/>
      <c r="B5" s="171"/>
      <c r="C5" s="171"/>
      <c r="D5" s="171"/>
      <c r="E5" s="1075" t="s">
        <v>936</v>
      </c>
      <c r="F5" s="1075"/>
      <c r="G5" s="1075"/>
      <c r="H5" s="171">
        <f>1.078*1.063*1.063</f>
        <v>1.2181065820000001</v>
      </c>
      <c r="I5" s="171"/>
      <c r="J5" s="171"/>
      <c r="K5" s="171"/>
      <c r="L5" s="171"/>
      <c r="M5" s="171"/>
      <c r="N5" s="171"/>
      <c r="O5" s="171"/>
      <c r="P5" s="171"/>
      <c r="Q5" s="171"/>
      <c r="R5" s="171"/>
      <c r="S5" s="171"/>
      <c r="T5" s="171"/>
      <c r="U5" s="171"/>
      <c r="V5" s="171"/>
      <c r="W5" s="171"/>
      <c r="X5" s="171"/>
      <c r="Y5" s="171"/>
      <c r="Z5" s="171"/>
      <c r="AA5" s="171"/>
      <c r="AB5" s="171"/>
      <c r="AC5" s="171"/>
      <c r="AD5" s="171"/>
      <c r="AE5" s="171"/>
      <c r="AF5" s="171"/>
      <c r="AG5" s="171"/>
      <c r="AH5" s="171"/>
      <c r="AI5" s="171"/>
      <c r="AJ5" s="171"/>
      <c r="AK5" s="171"/>
      <c r="AL5" s="171"/>
    </row>
    <row r="6" spans="1:54" ht="15.75" thickBot="1">
      <c r="A6" s="1076" t="s">
        <v>445</v>
      </c>
      <c r="B6" s="1079" t="s">
        <v>446</v>
      </c>
      <c r="C6" s="1080" t="s">
        <v>447</v>
      </c>
      <c r="D6" s="1083" t="s">
        <v>448</v>
      </c>
      <c r="E6" s="1084"/>
      <c r="F6" s="1084"/>
      <c r="G6" s="1085"/>
      <c r="H6" s="1089" t="s">
        <v>543</v>
      </c>
      <c r="I6" s="1090"/>
      <c r="J6" s="1083" t="s">
        <v>473</v>
      </c>
      <c r="K6" s="1084"/>
      <c r="L6" s="1084"/>
      <c r="M6" s="1084"/>
      <c r="N6" s="1084"/>
      <c r="O6" s="1084"/>
      <c r="P6" s="1092"/>
      <c r="Q6" s="1092"/>
      <c r="R6" s="1092"/>
      <c r="S6" s="1093"/>
      <c r="T6" s="1094" t="s">
        <v>449</v>
      </c>
      <c r="U6" s="1095"/>
      <c r="V6" s="1095"/>
      <c r="W6" s="1096"/>
      <c r="X6" s="1097"/>
      <c r="Y6" s="1098" t="s">
        <v>450</v>
      </c>
      <c r="Z6" s="1099"/>
      <c r="AA6" s="1099"/>
      <c r="AB6" s="1100"/>
      <c r="AC6" s="1098" t="s">
        <v>452</v>
      </c>
      <c r="AD6" s="1096"/>
      <c r="AE6" s="1098" t="s">
        <v>453</v>
      </c>
      <c r="AF6" s="1096"/>
      <c r="AG6" s="1096"/>
      <c r="AH6" s="1097"/>
      <c r="AI6" s="1098" t="s">
        <v>454</v>
      </c>
      <c r="AJ6" s="1096"/>
      <c r="AK6" s="1096"/>
      <c r="AL6" s="1097"/>
      <c r="AQ6" s="1098" t="s">
        <v>699</v>
      </c>
      <c r="AR6" s="1096"/>
      <c r="AS6" s="1096"/>
      <c r="AT6" s="1096"/>
      <c r="AU6" s="409" t="s">
        <v>702</v>
      </c>
      <c r="AV6" s="408"/>
      <c r="AW6" s="409" t="s">
        <v>766</v>
      </c>
      <c r="AX6" s="408"/>
      <c r="AY6" s="409" t="s">
        <v>904</v>
      </c>
      <c r="AZ6" s="408"/>
      <c r="BA6" s="409" t="s">
        <v>931</v>
      </c>
      <c r="BB6" s="408"/>
    </row>
    <row r="7" spans="1:54" ht="15.75" thickBot="1">
      <c r="A7" s="1077"/>
      <c r="B7" s="1079"/>
      <c r="C7" s="1081"/>
      <c r="D7" s="1086"/>
      <c r="E7" s="1087"/>
      <c r="F7" s="1087"/>
      <c r="G7" s="1088"/>
      <c r="H7" s="1091"/>
      <c r="I7" s="1075"/>
      <c r="J7" s="1098" t="s">
        <v>533</v>
      </c>
      <c r="K7" s="1096"/>
      <c r="L7" s="671"/>
      <c r="M7" s="672"/>
      <c r="N7" s="671"/>
      <c r="O7" s="671"/>
      <c r="P7" s="1096" t="s">
        <v>534</v>
      </c>
      <c r="Q7" s="1096"/>
      <c r="R7" s="1096"/>
      <c r="S7" s="1097"/>
      <c r="T7" s="1094" t="s">
        <v>535</v>
      </c>
      <c r="U7" s="1099"/>
      <c r="V7" s="1100"/>
      <c r="W7" s="1101" t="s">
        <v>536</v>
      </c>
      <c r="X7" s="1090"/>
      <c r="Y7" s="1098" t="s">
        <v>537</v>
      </c>
      <c r="Z7" s="1097"/>
      <c r="AA7" s="1101" t="s">
        <v>536</v>
      </c>
      <c r="AB7" s="1090"/>
      <c r="AC7" s="1079" t="s">
        <v>455</v>
      </c>
      <c r="AD7" s="1080" t="s">
        <v>451</v>
      </c>
      <c r="AE7" s="1104" t="s">
        <v>456</v>
      </c>
      <c r="AF7" s="1080" t="s">
        <v>451</v>
      </c>
      <c r="AG7" s="1104" t="s">
        <v>457</v>
      </c>
      <c r="AH7" s="1080" t="s">
        <v>451</v>
      </c>
      <c r="AI7" s="1104" t="s">
        <v>458</v>
      </c>
      <c r="AJ7" s="1080" t="s">
        <v>451</v>
      </c>
      <c r="AK7" s="1104" t="s">
        <v>459</v>
      </c>
      <c r="AL7" s="1080" t="s">
        <v>451</v>
      </c>
      <c r="AQ7" s="1104" t="s">
        <v>700</v>
      </c>
      <c r="AR7" s="1080" t="s">
        <v>451</v>
      </c>
      <c r="AS7" s="1104" t="s">
        <v>701</v>
      </c>
      <c r="AT7" s="1105" t="s">
        <v>451</v>
      </c>
      <c r="AU7" s="410"/>
      <c r="AV7" s="410"/>
      <c r="AW7" s="410"/>
      <c r="AX7" s="410"/>
      <c r="AY7" s="410"/>
      <c r="AZ7" s="410"/>
      <c r="BA7" s="410"/>
      <c r="BB7" s="410"/>
    </row>
    <row r="8" spans="1:54" ht="60.75" thickBot="1">
      <c r="A8" s="1077"/>
      <c r="B8" s="1079"/>
      <c r="C8" s="1082"/>
      <c r="D8" s="673" t="s">
        <v>460</v>
      </c>
      <c r="E8" s="673" t="s">
        <v>461</v>
      </c>
      <c r="F8" s="670" t="s">
        <v>462</v>
      </c>
      <c r="G8" s="670" t="s">
        <v>463</v>
      </c>
      <c r="H8" s="674" t="s">
        <v>491</v>
      </c>
      <c r="I8" s="668" t="s">
        <v>35</v>
      </c>
      <c r="J8" s="676" t="s">
        <v>538</v>
      </c>
      <c r="K8" s="676" t="s">
        <v>451</v>
      </c>
      <c r="L8" s="402" t="s">
        <v>642</v>
      </c>
      <c r="M8" s="402" t="s">
        <v>633</v>
      </c>
      <c r="N8" s="349" t="s">
        <v>634</v>
      </c>
      <c r="O8" s="349" t="s">
        <v>633</v>
      </c>
      <c r="P8" s="673" t="s">
        <v>464</v>
      </c>
      <c r="Q8" s="673" t="s">
        <v>451</v>
      </c>
      <c r="R8" s="673" t="s">
        <v>465</v>
      </c>
      <c r="S8" s="673" t="s">
        <v>451</v>
      </c>
      <c r="T8" s="674" t="s">
        <v>466</v>
      </c>
      <c r="U8" s="673" t="s">
        <v>467</v>
      </c>
      <c r="V8" s="673" t="s">
        <v>468</v>
      </c>
      <c r="W8" s="674" t="s">
        <v>466</v>
      </c>
      <c r="X8" s="673" t="s">
        <v>451</v>
      </c>
      <c r="Y8" s="674" t="s">
        <v>466</v>
      </c>
      <c r="Z8" s="673" t="s">
        <v>469</v>
      </c>
      <c r="AA8" s="674" t="s">
        <v>466</v>
      </c>
      <c r="AB8" s="673" t="s">
        <v>451</v>
      </c>
      <c r="AC8" s="1102"/>
      <c r="AD8" s="1103"/>
      <c r="AE8" s="1103"/>
      <c r="AF8" s="1103"/>
      <c r="AG8" s="1103"/>
      <c r="AH8" s="1103"/>
      <c r="AI8" s="1103"/>
      <c r="AJ8" s="1103"/>
      <c r="AK8" s="1103"/>
      <c r="AL8" s="1103"/>
      <c r="AQ8" s="1103"/>
      <c r="AR8" s="1103"/>
      <c r="AS8" s="1103"/>
      <c r="AT8" s="1091"/>
      <c r="AU8" s="412" t="s">
        <v>466</v>
      </c>
      <c r="AV8" s="412" t="s">
        <v>703</v>
      </c>
      <c r="AW8" s="412" t="s">
        <v>466</v>
      </c>
      <c r="AX8" s="412" t="s">
        <v>703</v>
      </c>
      <c r="AY8" s="412" t="s">
        <v>466</v>
      </c>
      <c r="AZ8" s="412" t="s">
        <v>703</v>
      </c>
      <c r="BA8" s="412" t="s">
        <v>466</v>
      </c>
      <c r="BB8" s="412" t="s">
        <v>703</v>
      </c>
    </row>
    <row r="9" spans="1:54" ht="15.75" thickBot="1">
      <c r="A9" s="1077"/>
      <c r="B9" s="675" t="s">
        <v>470</v>
      </c>
      <c r="C9" s="183" t="s">
        <v>88</v>
      </c>
      <c r="D9" s="667" t="s">
        <v>550</v>
      </c>
      <c r="E9" s="667" t="s">
        <v>88</v>
      </c>
      <c r="F9" s="666" t="s">
        <v>88</v>
      </c>
      <c r="G9" s="666" t="s">
        <v>88</v>
      </c>
      <c r="H9" s="667" t="s">
        <v>88</v>
      </c>
      <c r="I9" s="673" t="s">
        <v>88</v>
      </c>
      <c r="J9" s="667" t="s">
        <v>90</v>
      </c>
      <c r="K9" s="667" t="s">
        <v>472</v>
      </c>
      <c r="L9" s="349" t="s">
        <v>31</v>
      </c>
      <c r="M9" s="349" t="s">
        <v>472</v>
      </c>
      <c r="N9" s="349" t="s">
        <v>31</v>
      </c>
      <c r="O9" s="349" t="s">
        <v>88</v>
      </c>
      <c r="P9" s="667" t="s">
        <v>90</v>
      </c>
      <c r="Q9" s="667" t="s">
        <v>88</v>
      </c>
      <c r="R9" s="667" t="s">
        <v>90</v>
      </c>
      <c r="S9" s="667" t="s">
        <v>88</v>
      </c>
      <c r="T9" s="667" t="s">
        <v>25</v>
      </c>
      <c r="U9" s="667" t="s">
        <v>472</v>
      </c>
      <c r="V9" s="667" t="s">
        <v>88</v>
      </c>
      <c r="W9" s="667" t="s">
        <v>25</v>
      </c>
      <c r="X9" s="667" t="s">
        <v>472</v>
      </c>
      <c r="Y9" s="667" t="s">
        <v>21</v>
      </c>
      <c r="Z9" s="667"/>
      <c r="AA9" s="667" t="s">
        <v>21</v>
      </c>
      <c r="AB9" s="667" t="s">
        <v>88</v>
      </c>
      <c r="AC9" s="667" t="s">
        <v>471</v>
      </c>
      <c r="AD9" s="667" t="s">
        <v>88</v>
      </c>
      <c r="AE9" s="667" t="s">
        <v>551</v>
      </c>
      <c r="AF9" s="667" t="s">
        <v>472</v>
      </c>
      <c r="AG9" s="667" t="s">
        <v>550</v>
      </c>
      <c r="AH9" s="667" t="s">
        <v>88</v>
      </c>
      <c r="AI9" s="667" t="s">
        <v>25</v>
      </c>
      <c r="AJ9" s="667" t="s">
        <v>88</v>
      </c>
      <c r="AK9" s="667" t="s">
        <v>549</v>
      </c>
      <c r="AL9" s="667" t="s">
        <v>88</v>
      </c>
      <c r="AQ9" s="667" t="s">
        <v>21</v>
      </c>
      <c r="AR9" s="667" t="s">
        <v>472</v>
      </c>
      <c r="AS9" s="667" t="s">
        <v>550</v>
      </c>
      <c r="AT9" s="666" t="s">
        <v>88</v>
      </c>
      <c r="AU9" s="413" t="s">
        <v>470</v>
      </c>
      <c r="AV9" s="414" t="s">
        <v>472</v>
      </c>
      <c r="AW9" s="413" t="s">
        <v>470</v>
      </c>
      <c r="AX9" s="414" t="s">
        <v>472</v>
      </c>
      <c r="AY9" s="413" t="s">
        <v>470</v>
      </c>
      <c r="AZ9" s="414" t="s">
        <v>472</v>
      </c>
      <c r="BA9" s="413" t="s">
        <v>21</v>
      </c>
      <c r="BB9" s="414" t="s">
        <v>472</v>
      </c>
    </row>
    <row r="10" spans="1:54" ht="15.75" thickBot="1">
      <c r="A10" s="1077"/>
      <c r="B10" s="1076"/>
      <c r="C10" s="1107"/>
      <c r="D10" s="673"/>
      <c r="E10" s="177"/>
      <c r="F10" s="1109"/>
      <c r="G10" s="1111"/>
      <c r="H10" s="667"/>
      <c r="I10" s="178"/>
      <c r="J10" s="1114"/>
      <c r="K10" s="179">
        <f>'стоимость содержания'!F38</f>
        <v>2554.5528658944008</v>
      </c>
      <c r="L10" s="350"/>
      <c r="M10" s="350">
        <f>'стоимость содержания'!F42</f>
        <v>545.81011301375997</v>
      </c>
      <c r="N10" s="350"/>
      <c r="O10" s="350">
        <f>'стоимость содержания'!F41</f>
        <v>6584.2239560832004</v>
      </c>
      <c r="P10" s="1114"/>
      <c r="Q10" s="179">
        <f>'стоимость содержания'!F9</f>
        <v>3119.0489017876807</v>
      </c>
      <c r="R10" s="1114"/>
      <c r="S10" s="179">
        <f>'стоимость содержания'!F8</f>
        <v>1748.1091185995042</v>
      </c>
      <c r="T10" s="1114"/>
      <c r="U10" s="179">
        <f>'стоимость содержания'!F10</f>
        <v>1849.1567693644802</v>
      </c>
      <c r="V10" s="667">
        <f>'стоимость содержания'!F29</f>
        <v>69.290000000000006</v>
      </c>
      <c r="W10" s="1114"/>
      <c r="X10" s="179">
        <f>'стоимость содержания'!F39</f>
        <v>1691.1900932161534</v>
      </c>
      <c r="Y10" s="664"/>
      <c r="Z10" s="667">
        <f>'стоимость содержания'!F30</f>
        <v>269.7</v>
      </c>
      <c r="AA10" s="1114"/>
      <c r="AB10" s="179">
        <f>'стоимость содержания'!F40</f>
        <v>253.59748788326402</v>
      </c>
      <c r="AC10" s="1105"/>
      <c r="AD10" s="179">
        <f>'стоимость содержания'!F31</f>
        <v>427.53827491015687</v>
      </c>
      <c r="AE10" s="1114"/>
      <c r="AF10" s="179">
        <f>'стоимость содержания'!F22</f>
        <v>13284.0922339872</v>
      </c>
      <c r="AG10" s="1114"/>
      <c r="AH10" s="179"/>
      <c r="AI10" s="1114"/>
      <c r="AJ10" s="669">
        <f>'стоимость содержания'!F15</f>
        <v>69.266673072000003</v>
      </c>
      <c r="AK10" s="1080"/>
      <c r="AL10" s="179">
        <f>'стоимость содержания'!F19</f>
        <v>13700.897819136002</v>
      </c>
      <c r="AQ10" s="1114"/>
      <c r="AR10" s="179"/>
      <c r="AS10" s="1114"/>
      <c r="AT10" s="669"/>
      <c r="AU10" s="411"/>
      <c r="AV10" s="420">
        <f>'стоимость содержания'!F33</f>
        <v>83.07</v>
      </c>
      <c r="AW10" s="411"/>
      <c r="AX10" s="420">
        <f>'стоимость содержания'!K34</f>
        <v>0</v>
      </c>
      <c r="AY10" s="411"/>
      <c r="AZ10" s="420">
        <f>'стоимость содержания'!F35</f>
        <v>47.920900000000003</v>
      </c>
      <c r="BA10" s="411"/>
      <c r="BB10" s="420">
        <f>'стоимость содержания'!F36</f>
        <v>51.934874872320002</v>
      </c>
    </row>
    <row r="11" spans="1:54" ht="15.75" thickBot="1">
      <c r="A11" s="1077"/>
      <c r="B11" s="1077"/>
      <c r="C11" s="1108"/>
      <c r="D11" s="667"/>
      <c r="E11" s="179"/>
      <c r="F11" s="1110"/>
      <c r="G11" s="1112"/>
      <c r="H11" s="667"/>
      <c r="I11" s="178"/>
      <c r="J11" s="1115"/>
      <c r="K11" s="667"/>
      <c r="L11" s="349"/>
      <c r="M11" s="349"/>
      <c r="N11" s="349"/>
      <c r="O11" s="349"/>
      <c r="P11" s="1115"/>
      <c r="Q11" s="667"/>
      <c r="R11" s="1115"/>
      <c r="S11" s="667"/>
      <c r="T11" s="1115"/>
      <c r="U11" s="667"/>
      <c r="V11" s="667"/>
      <c r="W11" s="1115"/>
      <c r="X11" s="667"/>
      <c r="Y11" s="665"/>
      <c r="Z11" s="667"/>
      <c r="AA11" s="1115"/>
      <c r="AB11" s="667"/>
      <c r="AC11" s="1117"/>
      <c r="AD11" s="667"/>
      <c r="AE11" s="1115"/>
      <c r="AF11" s="667"/>
      <c r="AG11" s="1115"/>
      <c r="AH11" s="667"/>
      <c r="AI11" s="1115"/>
      <c r="AJ11" s="666"/>
      <c r="AK11" s="1081"/>
      <c r="AL11" s="667"/>
      <c r="AQ11" s="1115"/>
      <c r="AR11" s="667"/>
      <c r="AS11" s="1115"/>
      <c r="AT11" s="666"/>
      <c r="AU11" s="411"/>
      <c r="AV11" s="415"/>
      <c r="AW11" s="411"/>
      <c r="AX11" s="415"/>
      <c r="AY11" s="411"/>
      <c r="AZ11" s="415"/>
      <c r="BA11" s="411"/>
      <c r="BB11" s="415"/>
    </row>
    <row r="12" spans="1:54" ht="15.75" thickBot="1">
      <c r="A12" s="1078"/>
      <c r="B12" s="1106"/>
      <c r="C12" s="1106"/>
      <c r="D12" s="673" t="s">
        <v>539</v>
      </c>
      <c r="E12" s="184">
        <f>'стоимость содержания'!F32</f>
        <v>132.60692735999999</v>
      </c>
      <c r="F12" s="1087"/>
      <c r="G12" s="1113"/>
      <c r="H12" s="185">
        <f>ROUND(183/180,3)</f>
        <v>1.0169999999999999</v>
      </c>
      <c r="I12" s="186">
        <f>ROUND(183/180,3)</f>
        <v>1.0169999999999999</v>
      </c>
      <c r="J12" s="1116"/>
      <c r="K12" s="187"/>
      <c r="L12" s="351"/>
      <c r="M12" s="351"/>
      <c r="N12" s="351"/>
      <c r="O12" s="351"/>
      <c r="P12" s="1116"/>
      <c r="Q12" s="188"/>
      <c r="R12" s="1116"/>
      <c r="S12" s="187"/>
      <c r="T12" s="1116"/>
      <c r="U12" s="189"/>
      <c r="V12" s="177"/>
      <c r="W12" s="1116"/>
      <c r="X12" s="188"/>
      <c r="Y12" s="190"/>
      <c r="Z12" s="188"/>
      <c r="AA12" s="1116"/>
      <c r="AB12" s="188"/>
      <c r="AC12" s="1113"/>
      <c r="AD12" s="187"/>
      <c r="AE12" s="1116"/>
      <c r="AF12" s="187"/>
      <c r="AG12" s="1116"/>
      <c r="AH12" s="187"/>
      <c r="AI12" s="1116"/>
      <c r="AJ12" s="187"/>
      <c r="AK12" s="1106"/>
      <c r="AL12" s="177"/>
      <c r="AQ12" s="1116"/>
      <c r="AR12" s="187"/>
      <c r="AS12" s="1116"/>
      <c r="AT12" s="406"/>
      <c r="AU12" s="411"/>
      <c r="AV12" s="416"/>
      <c r="AW12" s="411"/>
      <c r="AX12" s="416"/>
      <c r="AY12" s="411"/>
      <c r="AZ12" s="416"/>
      <c r="BA12" s="411"/>
      <c r="BB12" s="416"/>
    </row>
    <row r="13" spans="1:54" ht="24.75" thickBot="1">
      <c r="A13" s="205" t="s">
        <v>540</v>
      </c>
      <c r="B13" s="206"/>
      <c r="C13" s="292">
        <f>H13+I13</f>
        <v>0</v>
      </c>
      <c r="D13" s="206">
        <f>77586/100</f>
        <v>775.86</v>
      </c>
      <c r="E13" s="207">
        <f>'стоимость содержания'!F11</f>
        <v>1494.53173924672</v>
      </c>
      <c r="F13" s="207">
        <f>(J13)*E12</f>
        <v>11738.365209907199</v>
      </c>
      <c r="G13" s="206"/>
      <c r="H13" s="321"/>
      <c r="I13" s="321"/>
      <c r="J13" s="206">
        <v>88.52</v>
      </c>
      <c r="K13" s="207">
        <f>K10</f>
        <v>2554.5528658944008</v>
      </c>
      <c r="L13" s="357">
        <f>230/100</f>
        <v>2.2999999999999998</v>
      </c>
      <c r="M13" s="493">
        <f>M10</f>
        <v>545.81011301375997</v>
      </c>
      <c r="N13" s="328">
        <f>789/100</f>
        <v>7.89</v>
      </c>
      <c r="O13" s="493">
        <f>O10</f>
        <v>6584.2239560832004</v>
      </c>
      <c r="P13" s="206">
        <v>110.1186</v>
      </c>
      <c r="Q13" s="207">
        <f>Q10</f>
        <v>3119.0489017876807</v>
      </c>
      <c r="R13" s="206">
        <f>1400/100</f>
        <v>14</v>
      </c>
      <c r="S13" s="207">
        <f>S10</f>
        <v>1748.1091185995042</v>
      </c>
      <c r="T13" s="206">
        <v>92</v>
      </c>
      <c r="U13" s="207">
        <f>U10</f>
        <v>1849.1567693644802</v>
      </c>
      <c r="V13" s="206">
        <f>V10</f>
        <v>69.290000000000006</v>
      </c>
      <c r="W13" s="206">
        <v>92</v>
      </c>
      <c r="X13" s="207">
        <f>X10</f>
        <v>1691.1900932161534</v>
      </c>
      <c r="Y13" s="206">
        <v>98</v>
      </c>
      <c r="Z13" s="206">
        <f>Z10</f>
        <v>269.7</v>
      </c>
      <c r="AA13" s="206">
        <v>98</v>
      </c>
      <c r="AB13" s="207">
        <f>AB10</f>
        <v>253.59748788326402</v>
      </c>
      <c r="AC13" s="206">
        <f>677+3.12</f>
        <v>680.12</v>
      </c>
      <c r="AD13" s="207">
        <f>AD10</f>
        <v>427.53827491015687</v>
      </c>
      <c r="AE13" s="206">
        <f>680.12/100</f>
        <v>6.8011999999999997</v>
      </c>
      <c r="AF13" s="207">
        <f>AF10</f>
        <v>13284.0922339872</v>
      </c>
      <c r="AG13" s="206">
        <v>0</v>
      </c>
      <c r="AH13" s="206">
        <f>AH10</f>
        <v>0</v>
      </c>
      <c r="AI13" s="206">
        <v>71</v>
      </c>
      <c r="AJ13" s="207">
        <f>AJ10</f>
        <v>69.266673072000003</v>
      </c>
      <c r="AK13" s="206">
        <f>908/100</f>
        <v>9.08</v>
      </c>
      <c r="AL13" s="840">
        <f>AL10</f>
        <v>13700.897819136002</v>
      </c>
      <c r="AQ13" s="206">
        <v>61</v>
      </c>
      <c r="AR13" s="207">
        <f>AR10</f>
        <v>0</v>
      </c>
      <c r="AS13" s="206">
        <f>808/100</f>
        <v>8.08</v>
      </c>
      <c r="AT13" s="407">
        <f>AT10</f>
        <v>0</v>
      </c>
      <c r="AU13" s="439">
        <v>34</v>
      </c>
      <c r="AV13" s="421">
        <f>AV10</f>
        <v>83.07</v>
      </c>
      <c r="AW13" s="418">
        <v>3685</v>
      </c>
      <c r="AX13" s="421">
        <f>AX10</f>
        <v>0</v>
      </c>
      <c r="AY13" s="418">
        <v>102</v>
      </c>
      <c r="AZ13" s="421">
        <f>AZ10</f>
        <v>47.920900000000003</v>
      </c>
      <c r="BA13" s="418">
        <v>35</v>
      </c>
      <c r="BB13" s="421">
        <f>BB10</f>
        <v>51.934874872320002</v>
      </c>
    </row>
    <row r="14" spans="1:54" ht="15.75" thickBot="1">
      <c r="A14" s="322"/>
      <c r="B14" s="322"/>
      <c r="C14" s="322"/>
      <c r="D14" s="322"/>
      <c r="E14" s="405">
        <f>(D13*E13)*H5*I12</f>
        <v>1436464.0035908709</v>
      </c>
      <c r="F14" s="404">
        <f>F13*H12*H5</f>
        <v>14541.655782817601</v>
      </c>
      <c r="G14" s="322"/>
      <c r="H14" s="326">
        <f>(F14+K14+M14+O14+X14+AB14)</f>
        <v>584118.72352136811</v>
      </c>
      <c r="I14" s="327">
        <f>(E14+Q14+S14+U14+V14+Z14+AD14+AF14+AJ14+AL14+AV14+AX14+AZ14+BB14)</f>
        <v>2787816.9387131077</v>
      </c>
      <c r="J14" s="322"/>
      <c r="K14" s="491">
        <f>J13*K10*H5*H12</f>
        <v>280131.88446783868</v>
      </c>
      <c r="L14" s="492"/>
      <c r="M14" s="491">
        <f>L13*M10*H5*H12</f>
        <v>1555.1620759690204</v>
      </c>
      <c r="N14" s="492"/>
      <c r="O14" s="494">
        <f>N13*O10*H5*H12</f>
        <v>64355.821820304584</v>
      </c>
      <c r="P14" s="322"/>
      <c r="Q14" s="495">
        <f>(P13*Q10)*H5*I12</f>
        <v>425489.75545655424</v>
      </c>
      <c r="R14" s="322"/>
      <c r="S14" s="495">
        <f>(R13*S10)*H5*I12</f>
        <v>30318.158335057869</v>
      </c>
      <c r="T14" s="322"/>
      <c r="U14" s="496">
        <f>(T13*U10)*H5*I12</f>
        <v>210750.10606588257</v>
      </c>
      <c r="V14" s="497">
        <f>(T13*V10)*H5*I12</f>
        <v>7897.0453404682039</v>
      </c>
      <c r="W14" s="322"/>
      <c r="X14" s="491">
        <f>W13*X10*H12*H5</f>
        <v>192746.4979864138</v>
      </c>
      <c r="Y14" s="322"/>
      <c r="Z14" s="497">
        <f>(Y13*Z10)*I12*H5</f>
        <v>32742.607719254756</v>
      </c>
      <c r="AA14" s="322"/>
      <c r="AB14" s="491">
        <f>AA13*AB10*H12*H5</f>
        <v>30787.701388024379</v>
      </c>
      <c r="AC14" s="322"/>
      <c r="AD14" s="497">
        <f>(AC13*AD10)*I12*H5</f>
        <v>360219.14371980028</v>
      </c>
      <c r="AE14" s="322"/>
      <c r="AF14" s="497">
        <f>(AE13*AF10)*I12*H5</f>
        <v>111924.11558069928</v>
      </c>
      <c r="AG14" s="322"/>
      <c r="AH14" s="322"/>
      <c r="AI14" s="322"/>
      <c r="AJ14" s="497">
        <f>AI13*AJ10*I12*H5</f>
        <v>6092.4071649307907</v>
      </c>
      <c r="AK14" s="322"/>
      <c r="AL14" s="497">
        <f>AK13*AL10*I12*H5</f>
        <v>154113.65440275866</v>
      </c>
      <c r="AQ14" s="322"/>
      <c r="AR14" s="324">
        <f>(AQ13*AR10)*1.074*I12</f>
        <v>0</v>
      </c>
      <c r="AS14" s="322"/>
      <c r="AT14" s="324">
        <f>AS13*AT10*1.074*I12</f>
        <v>0</v>
      </c>
      <c r="AU14" s="417"/>
      <c r="AV14" s="498">
        <f>AU13*AV10*I12*H5</f>
        <v>3498.8825978263353</v>
      </c>
      <c r="AW14" s="417"/>
      <c r="AX14" s="498">
        <f>AW13*AX13*H5*I12</f>
        <v>0</v>
      </c>
      <c r="AY14" s="417"/>
      <c r="AZ14" s="498">
        <f>AY13*AZ13*H5*I12</f>
        <v>6055.240270212209</v>
      </c>
      <c r="BA14" s="417"/>
      <c r="BB14" s="498">
        <f>BA13*BB13*I12*H5</f>
        <v>2251.8184687919843</v>
      </c>
    </row>
    <row r="15" spans="1:54">
      <c r="A15" s="325"/>
      <c r="B15" s="171"/>
      <c r="C15" s="171"/>
      <c r="D15" s="171"/>
      <c r="E15" s="171"/>
      <c r="F15" s="171"/>
      <c r="G15" s="171"/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/>
      <c r="S15" s="171"/>
      <c r="T15" s="171"/>
      <c r="U15" s="171"/>
      <c r="V15" s="171"/>
      <c r="W15" s="171"/>
      <c r="X15" s="171"/>
      <c r="Y15" s="171"/>
      <c r="Z15" s="171"/>
      <c r="AA15" s="171"/>
      <c r="AB15" s="171"/>
      <c r="AC15" s="171"/>
      <c r="AD15" s="171"/>
      <c r="AE15" s="171"/>
      <c r="AF15" s="171"/>
      <c r="AG15" s="171"/>
      <c r="AH15" s="171"/>
      <c r="AI15" s="171"/>
      <c r="AJ15" s="171"/>
      <c r="AK15" s="171"/>
      <c r="AL15" s="171"/>
    </row>
    <row r="16" spans="1:54">
      <c r="A16" s="423">
        <f>H14+I14</f>
        <v>3371935.6622344758</v>
      </c>
      <c r="B16" s="171"/>
      <c r="C16" s="323"/>
      <c r="D16" s="171"/>
      <c r="E16" s="171"/>
      <c r="F16" s="171"/>
      <c r="G16" s="171"/>
      <c r="H16" s="323"/>
      <c r="I16" s="171"/>
      <c r="J16" s="171"/>
      <c r="K16" s="171"/>
      <c r="L16" s="171"/>
      <c r="M16" s="171" t="s">
        <v>167</v>
      </c>
      <c r="N16" s="171"/>
      <c r="O16" s="171"/>
      <c r="P16" s="171"/>
      <c r="Q16" s="171"/>
      <c r="R16" s="171"/>
      <c r="S16" s="171"/>
      <c r="T16" s="171"/>
      <c r="U16" s="171"/>
      <c r="V16" s="171"/>
      <c r="W16" s="171"/>
      <c r="X16" s="171"/>
      <c r="Y16" s="171"/>
      <c r="Z16" s="171"/>
      <c r="AA16" s="171"/>
      <c r="AB16" s="171"/>
      <c r="AC16" s="171"/>
      <c r="AD16" s="171"/>
      <c r="AE16" s="171"/>
      <c r="AF16" s="171"/>
      <c r="AG16" s="171"/>
      <c r="AH16" s="171"/>
      <c r="AI16" s="171"/>
      <c r="AJ16" s="171"/>
      <c r="AK16" s="171"/>
      <c r="AL16" s="171"/>
    </row>
    <row r="17" spans="2:8">
      <c r="H17" s="359"/>
    </row>
    <row r="19" spans="2:8">
      <c r="C19" s="359"/>
    </row>
    <row r="20" spans="2:8">
      <c r="C20" s="359"/>
    </row>
    <row r="24" spans="2:8">
      <c r="B24" s="359"/>
    </row>
  </sheetData>
  <mergeCells count="51">
    <mergeCell ref="AK10:AK12"/>
    <mergeCell ref="AQ10:AQ12"/>
    <mergeCell ref="AS10:AS12"/>
    <mergeCell ref="W10:W12"/>
    <mergeCell ref="AA10:AA12"/>
    <mergeCell ref="AC10:AC12"/>
    <mergeCell ref="AE10:AE12"/>
    <mergeCell ref="AG10:AG12"/>
    <mergeCell ref="AI10:AI12"/>
    <mergeCell ref="P10:P12"/>
    <mergeCell ref="R10:R12"/>
    <mergeCell ref="T10:T12"/>
    <mergeCell ref="AI7:AI8"/>
    <mergeCell ref="AJ7:AJ8"/>
    <mergeCell ref="AH7:AH8"/>
    <mergeCell ref="AA7:AB7"/>
    <mergeCell ref="B10:B12"/>
    <mergeCell ref="C10:C12"/>
    <mergeCell ref="F10:F12"/>
    <mergeCell ref="G10:G12"/>
    <mergeCell ref="J10:J12"/>
    <mergeCell ref="AE6:AH6"/>
    <mergeCell ref="AI6:AL6"/>
    <mergeCell ref="AQ6:AT6"/>
    <mergeCell ref="AC7:AC8"/>
    <mergeCell ref="AD7:AD8"/>
    <mergeCell ref="AE7:AE8"/>
    <mergeCell ref="AF7:AF8"/>
    <mergeCell ref="AG7:AG8"/>
    <mergeCell ref="AS7:AS8"/>
    <mergeCell ref="AT7:AT8"/>
    <mergeCell ref="AK7:AK8"/>
    <mergeCell ref="AL7:AL8"/>
    <mergeCell ref="AQ7:AQ8"/>
    <mergeCell ref="AR7:AR8"/>
    <mergeCell ref="A4:AL4"/>
    <mergeCell ref="E5:G5"/>
    <mergeCell ref="A6:A12"/>
    <mergeCell ref="B6:B8"/>
    <mergeCell ref="C6:C8"/>
    <mergeCell ref="D6:G7"/>
    <mergeCell ref="H6:I7"/>
    <mergeCell ref="J6:S6"/>
    <mergeCell ref="T6:X6"/>
    <mergeCell ref="Y6:AB6"/>
    <mergeCell ref="J7:K7"/>
    <mergeCell ref="P7:S7"/>
    <mergeCell ref="T7:V7"/>
    <mergeCell ref="W7:X7"/>
    <mergeCell ref="Y7:Z7"/>
    <mergeCell ref="AC6:AD6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B1:K47"/>
  <sheetViews>
    <sheetView topLeftCell="A10" workbookViewId="0">
      <selection activeCell="N33" sqref="N33"/>
    </sheetView>
  </sheetViews>
  <sheetFormatPr defaultRowHeight="15"/>
  <cols>
    <col min="1" max="1" width="5.85546875" customWidth="1"/>
    <col min="8" max="8" width="9.140625" customWidth="1"/>
    <col min="11" max="11" width="9.85546875" customWidth="1"/>
  </cols>
  <sheetData>
    <row r="1" spans="2:11">
      <c r="B1" s="293"/>
      <c r="C1" s="293"/>
      <c r="D1" s="293"/>
      <c r="E1" s="293"/>
      <c r="F1" s="293"/>
      <c r="G1" s="293"/>
      <c r="H1" s="1181" t="s">
        <v>560</v>
      </c>
      <c r="I1" s="1181"/>
      <c r="J1" s="1181"/>
      <c r="K1" s="1181"/>
    </row>
    <row r="2" spans="2:11">
      <c r="B2" s="293"/>
      <c r="C2" s="293"/>
      <c r="D2" s="293"/>
      <c r="E2" s="293"/>
      <c r="F2" s="293"/>
      <c r="G2" s="293"/>
      <c r="H2" s="1181" t="s">
        <v>561</v>
      </c>
      <c r="I2" s="1181"/>
      <c r="J2" s="1181"/>
      <c r="K2" s="1181"/>
    </row>
    <row r="3" spans="2:11">
      <c r="B3" s="293"/>
      <c r="C3" s="293"/>
      <c r="D3" s="293"/>
      <c r="E3" s="293"/>
      <c r="F3" s="293"/>
      <c r="G3" s="293"/>
      <c r="H3" s="1181" t="s">
        <v>562</v>
      </c>
      <c r="I3" s="1181"/>
      <c r="J3" s="1181"/>
      <c r="K3" s="1181"/>
    </row>
    <row r="4" spans="2:11">
      <c r="B4" s="293"/>
      <c r="C4" s="293"/>
      <c r="D4" s="293"/>
      <c r="E4" s="293"/>
      <c r="F4" s="293"/>
      <c r="G4" s="293"/>
      <c r="H4" s="294"/>
      <c r="I4" s="294"/>
      <c r="J4" s="294"/>
      <c r="K4" s="294"/>
    </row>
    <row r="5" spans="2:11">
      <c r="B5" s="293"/>
      <c r="C5" s="293"/>
      <c r="D5" s="293"/>
      <c r="E5" s="293"/>
      <c r="F5" s="293"/>
      <c r="G5" s="293"/>
      <c r="H5" s="1181" t="s">
        <v>563</v>
      </c>
      <c r="I5" s="1181"/>
      <c r="J5" s="1181"/>
      <c r="K5" s="1181"/>
    </row>
    <row r="6" spans="2:11">
      <c r="B6" s="293"/>
      <c r="C6" s="293"/>
      <c r="D6" s="293"/>
      <c r="E6" s="293"/>
      <c r="F6" s="293"/>
      <c r="G6" s="293"/>
      <c r="H6" s="293"/>
      <c r="I6" s="293"/>
      <c r="J6" s="293"/>
      <c r="K6" s="293"/>
    </row>
    <row r="7" spans="2:11">
      <c r="B7" s="293"/>
      <c r="C7" s="293"/>
      <c r="D7" s="293"/>
      <c r="E7" s="295" t="s">
        <v>564</v>
      </c>
      <c r="F7" s="293"/>
      <c r="G7" s="293"/>
      <c r="H7" s="293"/>
      <c r="I7" s="293"/>
      <c r="J7" s="293"/>
      <c r="K7" s="293"/>
    </row>
    <row r="8" spans="2:11">
      <c r="B8" s="293"/>
      <c r="C8" s="293"/>
      <c r="D8" s="293"/>
      <c r="E8" s="293"/>
      <c r="F8" s="293"/>
      <c r="G8" s="293"/>
      <c r="H8" s="293"/>
      <c r="I8" s="293"/>
      <c r="J8" s="293"/>
      <c r="K8" s="293"/>
    </row>
    <row r="9" spans="2:11">
      <c r="B9" s="1182" t="s">
        <v>565</v>
      </c>
      <c r="C9" s="1182"/>
      <c r="D9" s="1182"/>
      <c r="E9" s="1182"/>
      <c r="F9" s="1182"/>
      <c r="G9" s="1182"/>
      <c r="H9" s="1182"/>
      <c r="I9" s="1182"/>
      <c r="J9" s="1182"/>
      <c r="K9" s="1182"/>
    </row>
    <row r="10" spans="2:11">
      <c r="B10" s="1187" t="s">
        <v>783</v>
      </c>
      <c r="C10" s="1187"/>
      <c r="D10" s="1187"/>
      <c r="E10" s="1187"/>
      <c r="F10" s="1187"/>
      <c r="G10" s="1187"/>
      <c r="H10" s="1187"/>
      <c r="I10" s="1187"/>
      <c r="J10" s="1187"/>
      <c r="K10" s="1187"/>
    </row>
    <row r="11" spans="2:11">
      <c r="B11" s="296"/>
      <c r="C11" s="297"/>
      <c r="D11" s="1182" t="s">
        <v>566</v>
      </c>
      <c r="E11" s="1182"/>
      <c r="F11" s="1182"/>
      <c r="G11" s="1182"/>
      <c r="H11" s="293"/>
      <c r="I11" s="293"/>
      <c r="J11" s="298"/>
      <c r="K11" s="299"/>
    </row>
    <row r="12" spans="2:11">
      <c r="B12" s="1183" t="s">
        <v>567</v>
      </c>
      <c r="C12" s="1183"/>
      <c r="D12" s="1183"/>
      <c r="E12" s="1183"/>
      <c r="F12" s="1183"/>
      <c r="G12" s="1183"/>
      <c r="H12" s="1183"/>
      <c r="I12" s="1183"/>
      <c r="J12" s="1183"/>
      <c r="K12" s="1183"/>
    </row>
    <row r="13" spans="2:11">
      <c r="B13" s="1184" t="s">
        <v>480</v>
      </c>
      <c r="C13" s="300" t="s">
        <v>568</v>
      </c>
      <c r="D13" s="300" t="s">
        <v>569</v>
      </c>
      <c r="E13" s="300" t="s">
        <v>570</v>
      </c>
      <c r="F13" s="300" t="s">
        <v>571</v>
      </c>
      <c r="G13" s="300" t="s">
        <v>572</v>
      </c>
      <c r="H13" s="300" t="s">
        <v>573</v>
      </c>
      <c r="I13" s="300" t="s">
        <v>571</v>
      </c>
      <c r="J13" s="300" t="s">
        <v>574</v>
      </c>
      <c r="K13" s="300" t="s">
        <v>170</v>
      </c>
    </row>
    <row r="14" spans="2:11">
      <c r="B14" s="1185"/>
      <c r="C14" s="300" t="s">
        <v>575</v>
      </c>
      <c r="D14" s="301">
        <v>0.15</v>
      </c>
      <c r="E14" s="301">
        <v>0.36</v>
      </c>
      <c r="F14" s="301" t="s">
        <v>575</v>
      </c>
      <c r="G14" s="301">
        <v>0.11</v>
      </c>
      <c r="H14" s="301">
        <v>0.15</v>
      </c>
      <c r="I14" s="301" t="s">
        <v>575</v>
      </c>
      <c r="J14" s="302">
        <v>0.30199999999999999</v>
      </c>
      <c r="K14" s="300" t="s">
        <v>575</v>
      </c>
    </row>
    <row r="15" spans="2:11">
      <c r="B15" s="1185"/>
      <c r="C15" s="300"/>
      <c r="D15" s="303" t="s">
        <v>576</v>
      </c>
      <c r="E15" s="303" t="s">
        <v>577</v>
      </c>
      <c r="F15" s="301" t="s">
        <v>578</v>
      </c>
      <c r="G15" s="303" t="s">
        <v>579</v>
      </c>
      <c r="H15" s="301" t="s">
        <v>578</v>
      </c>
      <c r="I15" s="301" t="s">
        <v>578</v>
      </c>
      <c r="J15" s="303" t="s">
        <v>580</v>
      </c>
      <c r="K15" s="301" t="s">
        <v>578</v>
      </c>
    </row>
    <row r="16" spans="2:11">
      <c r="B16" s="1186"/>
      <c r="C16" s="300"/>
      <c r="D16" s="301" t="s">
        <v>167</v>
      </c>
      <c r="E16" s="301"/>
      <c r="F16" s="301" t="s">
        <v>581</v>
      </c>
      <c r="G16" s="301"/>
      <c r="H16" s="301" t="s">
        <v>582</v>
      </c>
      <c r="I16" s="301" t="s">
        <v>583</v>
      </c>
      <c r="J16" s="304">
        <v>9</v>
      </c>
      <c r="K16" s="300" t="s">
        <v>584</v>
      </c>
    </row>
    <row r="17" spans="2:11">
      <c r="B17" s="305"/>
      <c r="C17" s="300"/>
      <c r="D17" s="306" t="s">
        <v>585</v>
      </c>
      <c r="E17" s="306" t="s">
        <v>586</v>
      </c>
      <c r="F17" s="301"/>
      <c r="G17" s="306" t="s">
        <v>949</v>
      </c>
      <c r="H17" s="306" t="s">
        <v>587</v>
      </c>
      <c r="I17" s="306"/>
      <c r="J17" s="306" t="s">
        <v>845</v>
      </c>
      <c r="K17" s="300"/>
    </row>
    <row r="18" spans="2:11">
      <c r="B18" s="307">
        <v>1</v>
      </c>
      <c r="C18" s="307">
        <v>3</v>
      </c>
      <c r="D18" s="307">
        <v>4</v>
      </c>
      <c r="E18" s="307">
        <v>5</v>
      </c>
      <c r="F18" s="307">
        <v>6</v>
      </c>
      <c r="G18" s="307">
        <v>7</v>
      </c>
      <c r="H18" s="307">
        <v>8</v>
      </c>
      <c r="I18" s="307">
        <v>9</v>
      </c>
      <c r="J18" s="307">
        <v>10</v>
      </c>
      <c r="K18" s="308">
        <v>11</v>
      </c>
    </row>
    <row r="19" spans="2:11">
      <c r="B19" s="309" t="s">
        <v>588</v>
      </c>
      <c r="C19" s="310"/>
      <c r="D19" s="310"/>
      <c r="E19" s="310"/>
      <c r="F19" s="310"/>
      <c r="G19" s="310"/>
      <c r="H19" s="310"/>
      <c r="I19" s="310"/>
      <c r="J19" s="310"/>
      <c r="K19" s="310">
        <v>5250</v>
      </c>
    </row>
    <row r="20" spans="2:11">
      <c r="B20" s="311" t="s">
        <v>589</v>
      </c>
      <c r="C20" s="310"/>
      <c r="D20" s="310"/>
      <c r="E20" s="310"/>
      <c r="F20" s="310"/>
      <c r="G20" s="310"/>
      <c r="H20" s="310"/>
      <c r="I20" s="310"/>
      <c r="J20" s="310"/>
      <c r="K20" s="310">
        <v>1970</v>
      </c>
    </row>
    <row r="21" spans="2:11">
      <c r="B21" s="311" t="s">
        <v>590</v>
      </c>
      <c r="C21" s="310"/>
      <c r="D21" s="310"/>
      <c r="E21" s="310"/>
      <c r="F21" s="310"/>
      <c r="G21" s="310"/>
      <c r="H21" s="310"/>
      <c r="I21" s="310"/>
      <c r="J21" s="310"/>
      <c r="K21" s="310">
        <v>12</v>
      </c>
    </row>
    <row r="22" spans="2:11">
      <c r="B22" s="309" t="s">
        <v>782</v>
      </c>
      <c r="C22" s="310"/>
      <c r="D22" s="310"/>
      <c r="E22" s="310"/>
      <c r="F22" s="310"/>
      <c r="G22" s="310"/>
      <c r="H22" s="310"/>
      <c r="I22" s="310"/>
      <c r="J22" s="310"/>
      <c r="K22" s="312">
        <f>ROUND(K20/12,1)</f>
        <v>164.2</v>
      </c>
    </row>
    <row r="23" spans="2:11">
      <c r="B23" s="311" t="s">
        <v>591</v>
      </c>
      <c r="C23" s="310"/>
      <c r="D23" s="310"/>
      <c r="E23" s="310"/>
      <c r="F23" s="310"/>
      <c r="G23" s="310"/>
      <c r="H23" s="310"/>
      <c r="I23" s="310"/>
      <c r="J23" s="310"/>
      <c r="K23" s="312">
        <f>ROUND(K19/K22,2)</f>
        <v>31.97</v>
      </c>
    </row>
    <row r="24" spans="2:11">
      <c r="B24" s="311"/>
      <c r="C24" s="310"/>
      <c r="D24" s="310"/>
      <c r="E24" s="310"/>
      <c r="F24" s="310"/>
      <c r="G24" s="310"/>
      <c r="H24" s="310"/>
      <c r="I24" s="310"/>
      <c r="J24" s="310"/>
      <c r="K24" s="312"/>
    </row>
    <row r="25" spans="2:11">
      <c r="B25" s="309" t="s">
        <v>592</v>
      </c>
      <c r="C25" s="310"/>
      <c r="D25" s="310"/>
      <c r="E25" s="310"/>
      <c r="F25" s="310"/>
      <c r="G25" s="310"/>
      <c r="H25" s="310"/>
      <c r="I25" s="310"/>
      <c r="J25" s="310"/>
      <c r="K25" s="310"/>
    </row>
    <row r="26" spans="2:11">
      <c r="B26" s="310">
        <v>1</v>
      </c>
      <c r="C26" s="312">
        <f>(K23)</f>
        <v>31.97</v>
      </c>
      <c r="D26" s="312">
        <f>ROUND((C26*D17),2)</f>
        <v>0</v>
      </c>
      <c r="E26" s="312">
        <f>ROUND((C26*E17),2)</f>
        <v>11.51</v>
      </c>
      <c r="F26" s="312">
        <f>SUM(C26:D26,E26)</f>
        <v>43.48</v>
      </c>
      <c r="G26" s="312">
        <f>ROUND((F26*G17),2)</f>
        <v>4.78</v>
      </c>
      <c r="H26" s="312">
        <f>ROUND(SUM(F26,G26,)*H$17,2)</f>
        <v>7.24</v>
      </c>
      <c r="I26" s="312">
        <f>F26+G26+H26</f>
        <v>55.5</v>
      </c>
      <c r="J26" s="312">
        <f>ROUND((I26*J$17),2)</f>
        <v>16.760000000000002</v>
      </c>
      <c r="K26" s="313">
        <f>SUM(I26:J26)</f>
        <v>72.260000000000005</v>
      </c>
    </row>
    <row r="27" spans="2:11">
      <c r="B27" s="310" t="s">
        <v>593</v>
      </c>
      <c r="C27" s="312"/>
      <c r="D27" s="312"/>
      <c r="E27" s="312"/>
      <c r="F27" s="312"/>
      <c r="G27" s="312"/>
      <c r="H27" s="312"/>
      <c r="I27" s="312"/>
      <c r="J27" s="312"/>
      <c r="K27" s="313"/>
    </row>
    <row r="28" spans="2:11">
      <c r="B28" s="310">
        <v>1.0669999999999999</v>
      </c>
      <c r="C28" s="312">
        <f>C26*B28</f>
        <v>34.111989999999999</v>
      </c>
      <c r="D28" s="312">
        <v>0</v>
      </c>
      <c r="E28" s="312">
        <f>C28*E17</f>
        <v>12.280316399999998</v>
      </c>
      <c r="F28" s="312">
        <f>C28+E28</f>
        <v>46.392306399999995</v>
      </c>
      <c r="G28" s="312">
        <f>F28*G17</f>
        <v>5.1031537039999995</v>
      </c>
      <c r="H28" s="312">
        <f>ROUND(SUM(F28,G28)*H$17,2)</f>
        <v>7.72</v>
      </c>
      <c r="I28" s="312">
        <f>F28+G28+H28</f>
        <v>59.215460103999995</v>
      </c>
      <c r="J28" s="312">
        <f>ROUND(I28*J$17,2)</f>
        <v>17.88</v>
      </c>
      <c r="K28" s="313">
        <f>I28+J28</f>
        <v>77.095460103999997</v>
      </c>
    </row>
    <row r="29" spans="2:11">
      <c r="B29" s="310" t="s">
        <v>594</v>
      </c>
      <c r="C29" s="312"/>
      <c r="D29" s="312"/>
      <c r="E29" s="312"/>
      <c r="F29" s="312"/>
      <c r="G29" s="312"/>
      <c r="H29" s="312"/>
      <c r="I29" s="312"/>
      <c r="J29" s="312"/>
      <c r="K29" s="313"/>
    </row>
    <row r="30" spans="2:11">
      <c r="B30" s="310">
        <v>1.1100000000000001</v>
      </c>
      <c r="C30" s="312">
        <f>ROUND($C$26*B30,2)</f>
        <v>35.49</v>
      </c>
      <c r="D30" s="312">
        <v>0</v>
      </c>
      <c r="E30" s="312">
        <f>C30*E17</f>
        <v>12.776400000000001</v>
      </c>
      <c r="F30" s="312">
        <f>C30+D30+E30</f>
        <v>48.266400000000004</v>
      </c>
      <c r="G30" s="312">
        <f>F30*G17</f>
        <v>5.3093040000000009</v>
      </c>
      <c r="H30" s="312">
        <f>ROUND(SUM(F30,G30)*H$17,2)</f>
        <v>8.0399999999999991</v>
      </c>
      <c r="I30" s="312">
        <f>F30+G30+H30</f>
        <v>61.615704000000001</v>
      </c>
      <c r="J30" s="312">
        <f>ROUND(I30*J$17,2)</f>
        <v>18.61</v>
      </c>
      <c r="K30" s="313">
        <f>I30+J30</f>
        <v>80.225704000000007</v>
      </c>
    </row>
    <row r="31" spans="2:11">
      <c r="B31" s="310" t="s">
        <v>595</v>
      </c>
      <c r="C31" s="312"/>
      <c r="D31" s="312"/>
      <c r="E31" s="312"/>
      <c r="F31" s="312"/>
      <c r="G31" s="312"/>
      <c r="H31" s="312"/>
      <c r="I31" s="312"/>
      <c r="J31" s="312"/>
      <c r="K31" s="313"/>
    </row>
    <row r="32" spans="2:11">
      <c r="B32" s="310">
        <v>1.179</v>
      </c>
      <c r="C32" s="312">
        <f>ROUND(($C$26*B32),2)</f>
        <v>37.69</v>
      </c>
      <c r="D32" s="312">
        <v>0</v>
      </c>
      <c r="E32" s="312">
        <f>C32*E17</f>
        <v>13.568399999999999</v>
      </c>
      <c r="F32" s="312">
        <f>C32+D32+E32</f>
        <v>51.258399999999995</v>
      </c>
      <c r="G32" s="312">
        <f>F32*G17</f>
        <v>5.6384239999999997</v>
      </c>
      <c r="H32" s="312">
        <f>ROUND(SUM(F32,G32)*H$17,2)</f>
        <v>8.5299999999999994</v>
      </c>
      <c r="I32" s="312">
        <f>F32+G32+H32</f>
        <v>65.426823999999996</v>
      </c>
      <c r="J32" s="312">
        <f>ROUND(I32*J$17,2)</f>
        <v>19.760000000000002</v>
      </c>
      <c r="K32" s="313">
        <f>I32+J32</f>
        <v>85.186824000000001</v>
      </c>
    </row>
    <row r="33" spans="2:11">
      <c r="B33" s="310" t="s">
        <v>596</v>
      </c>
      <c r="C33" s="312"/>
      <c r="D33" s="312"/>
      <c r="E33" s="312"/>
      <c r="F33" s="312"/>
      <c r="G33" s="312"/>
      <c r="H33" s="312"/>
      <c r="I33" s="312"/>
      <c r="J33" s="312"/>
      <c r="K33" s="313"/>
    </row>
    <row r="34" spans="2:11">
      <c r="B34" s="310">
        <v>1.2789999999999999</v>
      </c>
      <c r="C34" s="312">
        <f>ROUND($C$26*B34,2)</f>
        <v>40.89</v>
      </c>
      <c r="D34" s="312">
        <v>0</v>
      </c>
      <c r="E34" s="312">
        <f>C34*E17</f>
        <v>14.7204</v>
      </c>
      <c r="F34" s="312">
        <f>C34+D34+E34</f>
        <v>55.610399999999998</v>
      </c>
      <c r="G34" s="312">
        <f>F34*G17</f>
        <v>6.1171439999999997</v>
      </c>
      <c r="H34" s="312">
        <f>ROUND(SUM(F34,G34)*H$17,2)</f>
        <v>9.26</v>
      </c>
      <c r="I34" s="312">
        <f>F34+G34+H34</f>
        <v>70.987544</v>
      </c>
      <c r="J34" s="312">
        <f>ROUND(I34*J$17,2)</f>
        <v>21.44</v>
      </c>
      <c r="K34" s="313">
        <f>I34+J34</f>
        <v>92.427543999999997</v>
      </c>
    </row>
    <row r="35" spans="2:11">
      <c r="B35" s="310" t="s">
        <v>597</v>
      </c>
      <c r="C35" s="312"/>
      <c r="D35" s="312"/>
      <c r="E35" s="312"/>
      <c r="F35" s="312"/>
      <c r="G35" s="312"/>
      <c r="H35" s="312"/>
      <c r="I35" s="312"/>
      <c r="J35" s="312"/>
      <c r="K35" s="313"/>
    </row>
    <row r="36" spans="2:11">
      <c r="B36" s="310">
        <v>1.4159999999999999</v>
      </c>
      <c r="C36" s="312">
        <f>ROUND($C$26*B36,2)</f>
        <v>45.27</v>
      </c>
      <c r="D36" s="312">
        <v>0</v>
      </c>
      <c r="E36" s="312">
        <f>C36*E17</f>
        <v>16.2972</v>
      </c>
      <c r="F36" s="312">
        <f>C36+D36+E36</f>
        <v>61.5672</v>
      </c>
      <c r="G36" s="312">
        <f>F36*G17</f>
        <v>6.772392</v>
      </c>
      <c r="H36" s="312">
        <f>ROUND(SUM(F36,G36)*H$17,2)</f>
        <v>10.25</v>
      </c>
      <c r="I36" s="312">
        <f>F36+G36+H36</f>
        <v>78.589591999999996</v>
      </c>
      <c r="J36" s="312">
        <f>ROUND(I36*J$17,2)</f>
        <v>23.73</v>
      </c>
      <c r="K36" s="313">
        <f>I36+J36</f>
        <v>102.319592</v>
      </c>
    </row>
    <row r="37" spans="2:11">
      <c r="B37" s="310" t="s">
        <v>598</v>
      </c>
      <c r="C37" s="312"/>
      <c r="D37" s="312"/>
      <c r="E37" s="312"/>
      <c r="F37" s="312"/>
      <c r="G37" s="312"/>
      <c r="H37" s="312"/>
      <c r="I37" s="312"/>
      <c r="J37" s="312"/>
      <c r="K37" s="313"/>
    </row>
    <row r="38" spans="2:11">
      <c r="B38" s="310">
        <v>1.554</v>
      </c>
      <c r="C38" s="312">
        <f>ROUND($C$26*B38,2)</f>
        <v>49.68</v>
      </c>
      <c r="D38" s="312">
        <v>0</v>
      </c>
      <c r="E38" s="312">
        <f>C38*E17</f>
        <v>17.884799999999998</v>
      </c>
      <c r="F38" s="312">
        <f>C38+D38+E38</f>
        <v>67.564799999999991</v>
      </c>
      <c r="G38" s="312">
        <f>F38*G17</f>
        <v>7.4321279999999987</v>
      </c>
      <c r="H38" s="312">
        <f>ROUND(SUM(F38,G38)*H$17,2)</f>
        <v>11.25</v>
      </c>
      <c r="I38" s="312">
        <f>F38+G38+H38</f>
        <v>86.246927999999997</v>
      </c>
      <c r="J38" s="312">
        <f>ROUND(I38*J$17,2)</f>
        <v>26.05</v>
      </c>
      <c r="K38" s="313">
        <f>I38+J38</f>
        <v>112.29692799999999</v>
      </c>
    </row>
    <row r="39" spans="2:11">
      <c r="B39" s="314"/>
      <c r="C39" s="315"/>
      <c r="D39" s="315"/>
      <c r="E39" s="315"/>
      <c r="F39" s="315"/>
      <c r="G39" s="315"/>
      <c r="H39" s="315"/>
      <c r="I39" s="315"/>
      <c r="J39" s="315"/>
      <c r="K39" s="316"/>
    </row>
    <row r="40" spans="2:11">
      <c r="B40" s="317" t="s">
        <v>608</v>
      </c>
      <c r="C40" s="315"/>
      <c r="D40" s="315"/>
      <c r="E40" s="315"/>
      <c r="F40" s="315"/>
      <c r="G40" s="315"/>
      <c r="H40" s="315"/>
      <c r="I40" s="315"/>
      <c r="J40" s="315"/>
      <c r="K40" s="316"/>
    </row>
    <row r="41" spans="2:11">
      <c r="B41" s="317" t="s">
        <v>599</v>
      </c>
      <c r="C41" s="315"/>
      <c r="D41" s="315"/>
      <c r="E41" s="315"/>
      <c r="F41" s="315"/>
      <c r="G41" s="315"/>
      <c r="H41" s="315"/>
      <c r="I41" s="315"/>
      <c r="J41" s="315"/>
      <c r="K41" s="316"/>
    </row>
    <row r="42" spans="2:11">
      <c r="C42" s="317"/>
      <c r="D42" s="317"/>
      <c r="E42" s="315"/>
      <c r="F42" s="317"/>
      <c r="G42" s="317"/>
      <c r="H42" s="317"/>
      <c r="I42" s="317"/>
      <c r="J42" s="317"/>
      <c r="K42" s="316"/>
    </row>
    <row r="43" spans="2:11">
      <c r="C43" s="317"/>
      <c r="D43" s="317"/>
      <c r="E43" s="317"/>
      <c r="F43" s="317"/>
      <c r="G43" s="317"/>
      <c r="H43" s="317"/>
      <c r="I43" s="317"/>
      <c r="J43" s="317"/>
      <c r="K43" s="316"/>
    </row>
    <row r="44" spans="2:11">
      <c r="B44" s="317"/>
      <c r="C44" s="317"/>
      <c r="D44" s="317"/>
      <c r="E44" s="317"/>
      <c r="F44" s="317"/>
      <c r="G44" s="317"/>
      <c r="H44" s="317"/>
      <c r="I44" s="317"/>
      <c r="J44" s="317"/>
      <c r="K44" s="316"/>
    </row>
    <row r="45" spans="2:11">
      <c r="B45" s="293" t="s">
        <v>600</v>
      </c>
      <c r="C45" s="293"/>
      <c r="D45" s="293"/>
      <c r="E45" s="317"/>
      <c r="F45" s="293"/>
      <c r="G45" s="293"/>
      <c r="H45" s="293"/>
      <c r="I45" s="293"/>
      <c r="J45" s="293"/>
      <c r="K45" s="293"/>
    </row>
    <row r="46" spans="2:11">
      <c r="B46" s="293" t="s">
        <v>601</v>
      </c>
      <c r="C46" s="293"/>
      <c r="D46" s="293"/>
      <c r="E46" s="293"/>
      <c r="F46" s="293"/>
      <c r="G46" s="293"/>
      <c r="H46" s="1180" t="s">
        <v>733</v>
      </c>
      <c r="I46" s="1180"/>
      <c r="J46" s="1180"/>
      <c r="K46" s="1180"/>
    </row>
    <row r="47" spans="2:11">
      <c r="E47" s="293"/>
    </row>
  </sheetData>
  <mergeCells count="10">
    <mergeCell ref="H46:K46"/>
    <mergeCell ref="H1:K1"/>
    <mergeCell ref="H5:K5"/>
    <mergeCell ref="B9:K9"/>
    <mergeCell ref="D11:G11"/>
    <mergeCell ref="B12:K12"/>
    <mergeCell ref="B13:B16"/>
    <mergeCell ref="H2:K2"/>
    <mergeCell ref="H3:K3"/>
    <mergeCell ref="B10:K10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1"/>
  <sheetViews>
    <sheetView topLeftCell="A31" workbookViewId="0">
      <selection sqref="A1:G27"/>
    </sheetView>
  </sheetViews>
  <sheetFormatPr defaultRowHeight="12.75"/>
  <cols>
    <col min="1" max="1" width="6.85546875" style="38" bestFit="1" customWidth="1"/>
    <col min="2" max="2" width="19.85546875" style="38" customWidth="1"/>
    <col min="3" max="3" width="13.7109375" style="38" customWidth="1"/>
    <col min="4" max="4" width="9.140625" style="38" customWidth="1"/>
    <col min="5" max="5" width="11.42578125" style="38" customWidth="1"/>
    <col min="6" max="6" width="10.7109375" style="38" customWidth="1"/>
    <col min="7" max="7" width="14" style="38" bestFit="1" customWidth="1"/>
    <col min="8" max="16384" width="9.140625" style="38"/>
  </cols>
  <sheetData>
    <row r="1" spans="1:7">
      <c r="B1" s="39"/>
      <c r="E1" s="39"/>
      <c r="F1" s="39"/>
      <c r="G1" s="39"/>
    </row>
    <row r="2" spans="1:7">
      <c r="C2" s="15" t="s">
        <v>174</v>
      </c>
    </row>
    <row r="3" spans="1:7">
      <c r="B3" s="1188" t="s">
        <v>431</v>
      </c>
      <c r="C3" s="1188"/>
      <c r="D3" s="1188"/>
      <c r="E3" s="1188"/>
      <c r="F3" s="1188"/>
      <c r="G3" s="1188"/>
    </row>
    <row r="4" spans="1:7">
      <c r="B4" s="1188" t="s">
        <v>85</v>
      </c>
      <c r="C4" s="1188"/>
      <c r="D4" s="1188"/>
      <c r="E4" s="1188"/>
      <c r="F4" s="1188"/>
      <c r="G4" s="1188"/>
    </row>
    <row r="6" spans="1:7">
      <c r="B6" s="38" t="s">
        <v>86</v>
      </c>
      <c r="D6" s="40" t="s">
        <v>87</v>
      </c>
      <c r="E6" s="41">
        <f>ресурсы!D4</f>
        <v>72.260000000000005</v>
      </c>
      <c r="F6" s="38" t="s">
        <v>88</v>
      </c>
      <c r="G6" s="42"/>
    </row>
    <row r="7" spans="1:7">
      <c r="B7" s="38" t="s">
        <v>89</v>
      </c>
      <c r="F7" s="38" t="s">
        <v>90</v>
      </c>
      <c r="G7" s="38" t="s">
        <v>91</v>
      </c>
    </row>
    <row r="8" spans="1:7" ht="21" customHeight="1">
      <c r="A8" s="1189" t="s">
        <v>92</v>
      </c>
      <c r="B8" s="1190" t="s">
        <v>93</v>
      </c>
      <c r="C8" s="1189" t="s">
        <v>94</v>
      </c>
      <c r="D8" s="43" t="s">
        <v>95</v>
      </c>
      <c r="E8" s="43" t="s">
        <v>96</v>
      </c>
      <c r="F8" s="43" t="s">
        <v>97</v>
      </c>
      <c r="G8" s="1189" t="s">
        <v>98</v>
      </c>
    </row>
    <row r="9" spans="1:7">
      <c r="A9" s="1189"/>
      <c r="B9" s="1191"/>
      <c r="C9" s="1189"/>
      <c r="D9" s="43" t="s">
        <v>99</v>
      </c>
      <c r="E9" s="43" t="s">
        <v>100</v>
      </c>
      <c r="F9" s="43"/>
      <c r="G9" s="1189"/>
    </row>
    <row r="10" spans="1:7" ht="38.25">
      <c r="A10" s="1193">
        <v>1</v>
      </c>
      <c r="B10" s="49" t="s">
        <v>835</v>
      </c>
      <c r="C10" s="43" t="s">
        <v>101</v>
      </c>
      <c r="D10" s="43" t="s">
        <v>102</v>
      </c>
      <c r="E10" s="44">
        <f>E11*E6</f>
        <v>10.116400000000002</v>
      </c>
      <c r="F10" s="45">
        <v>10</v>
      </c>
      <c r="G10" s="1192">
        <f>F10*E10</f>
        <v>101.16400000000002</v>
      </c>
    </row>
    <row r="11" spans="1:7">
      <c r="A11" s="1193"/>
      <c r="B11" s="500" t="s">
        <v>836</v>
      </c>
      <c r="C11" s="43"/>
      <c r="D11" s="43">
        <v>1</v>
      </c>
      <c r="E11" s="46">
        <v>0.14000000000000001</v>
      </c>
      <c r="F11" s="45"/>
      <c r="G11" s="1189"/>
    </row>
    <row r="12" spans="1:7" ht="25.5">
      <c r="A12" s="1193">
        <v>2</v>
      </c>
      <c r="B12" s="50" t="s">
        <v>103</v>
      </c>
      <c r="C12" s="43" t="s">
        <v>104</v>
      </c>
      <c r="D12" s="43" t="s">
        <v>105</v>
      </c>
      <c r="E12" s="44">
        <f>E13*E6</f>
        <v>174.14660000000003</v>
      </c>
      <c r="F12" s="43">
        <f>1.5/1000</f>
        <v>1.5E-3</v>
      </c>
      <c r="G12" s="1192">
        <f>E12*F12</f>
        <v>0.26121990000000006</v>
      </c>
    </row>
    <row r="13" spans="1:7">
      <c r="A13" s="1193"/>
      <c r="B13" s="50" t="s">
        <v>106</v>
      </c>
      <c r="C13" s="43"/>
      <c r="D13" s="43"/>
      <c r="E13" s="46">
        <v>2.41</v>
      </c>
      <c r="F13" s="43"/>
      <c r="G13" s="1192"/>
    </row>
    <row r="14" spans="1:7">
      <c r="A14" s="47">
        <v>3</v>
      </c>
      <c r="B14" s="50" t="s">
        <v>107</v>
      </c>
      <c r="C14" s="43"/>
      <c r="D14" s="43" t="s">
        <v>25</v>
      </c>
      <c r="E14" s="46">
        <f>ресурсы!D25</f>
        <v>9</v>
      </c>
      <c r="F14" s="43">
        <v>0.3</v>
      </c>
      <c r="G14" s="48">
        <f>E14*F14</f>
        <v>2.6999999999999997</v>
      </c>
    </row>
    <row r="15" spans="1:7">
      <c r="A15" s="1193">
        <v>4</v>
      </c>
      <c r="B15" s="1194" t="s">
        <v>108</v>
      </c>
      <c r="C15" s="1197" t="s">
        <v>109</v>
      </c>
      <c r="D15" s="43" t="s">
        <v>110</v>
      </c>
      <c r="E15" s="44">
        <f>E16*E6</f>
        <v>296.26600000000002</v>
      </c>
      <c r="F15" s="43">
        <v>0.1</v>
      </c>
      <c r="G15" s="1192">
        <f>E15*F15</f>
        <v>29.626600000000003</v>
      </c>
    </row>
    <row r="16" spans="1:7" ht="27.75" customHeight="1">
      <c r="A16" s="1193"/>
      <c r="B16" s="1194"/>
      <c r="C16" s="1189"/>
      <c r="D16" s="47"/>
      <c r="E16" s="46">
        <v>4.0999999999999996</v>
      </c>
      <c r="F16" s="43"/>
      <c r="G16" s="1192"/>
    </row>
    <row r="17" spans="1:17">
      <c r="A17" s="1193">
        <v>5</v>
      </c>
      <c r="B17" s="1194" t="s">
        <v>111</v>
      </c>
      <c r="C17" s="47" t="s">
        <v>112</v>
      </c>
      <c r="D17" s="47" t="s">
        <v>113</v>
      </c>
      <c r="E17" s="44">
        <f>E18*E6</f>
        <v>98.273600000000016</v>
      </c>
      <c r="F17" s="43">
        <f>1.5/1000</f>
        <v>1.5E-3</v>
      </c>
      <c r="G17" s="1192">
        <f>E17*F17</f>
        <v>0.14741040000000002</v>
      </c>
    </row>
    <row r="18" spans="1:17" ht="27.75" customHeight="1">
      <c r="A18" s="1193"/>
      <c r="B18" s="1194"/>
      <c r="C18" s="47"/>
      <c r="D18" s="47">
        <v>1</v>
      </c>
      <c r="E18" s="46">
        <v>1.36</v>
      </c>
      <c r="F18" s="43"/>
      <c r="G18" s="1192"/>
    </row>
    <row r="19" spans="1:17" ht="38.25">
      <c r="A19" s="47">
        <v>6</v>
      </c>
      <c r="B19" s="50" t="s">
        <v>114</v>
      </c>
      <c r="C19" s="43" t="s">
        <v>664</v>
      </c>
      <c r="D19" s="43" t="s">
        <v>115</v>
      </c>
      <c r="E19" s="46">
        <f>ресурсы!D15</f>
        <v>485.24</v>
      </c>
      <c r="F19" s="43">
        <f>F12*4/5</f>
        <v>1.2000000000000001E-3</v>
      </c>
      <c r="G19" s="48">
        <f>E19*F19</f>
        <v>0.58228800000000003</v>
      </c>
    </row>
    <row r="20" spans="1:17" ht="25.5">
      <c r="A20" s="47"/>
      <c r="B20" s="50" t="s">
        <v>116</v>
      </c>
      <c r="C20" s="47"/>
      <c r="D20" s="47"/>
      <c r="E20" s="43"/>
      <c r="F20" s="43"/>
      <c r="G20" s="46">
        <f>SUM(G10:G19)</f>
        <v>134.48151830000003</v>
      </c>
    </row>
    <row r="21" spans="1:17" ht="25.5">
      <c r="A21" s="47"/>
      <c r="B21" s="50" t="s">
        <v>117</v>
      </c>
      <c r="C21" s="47">
        <v>1.2</v>
      </c>
      <c r="D21" s="47"/>
      <c r="E21" s="43"/>
      <c r="F21" s="43"/>
      <c r="G21" s="46">
        <f>C21*G20</f>
        <v>161.37782196000003</v>
      </c>
    </row>
    <row r="22" spans="1:17" ht="25.5">
      <c r="A22" s="47"/>
      <c r="B22" s="50" t="s">
        <v>118</v>
      </c>
      <c r="C22" s="47">
        <v>1.08</v>
      </c>
      <c r="D22" s="47"/>
      <c r="E22" s="43"/>
      <c r="F22" s="43"/>
      <c r="G22" s="46">
        <f>C22*G21</f>
        <v>174.28804771680004</v>
      </c>
    </row>
    <row r="23" spans="1:17">
      <c r="A23" s="47"/>
      <c r="B23" s="50" t="s">
        <v>119</v>
      </c>
      <c r="C23" s="47">
        <v>1.18</v>
      </c>
      <c r="D23" s="47"/>
      <c r="E23" s="43"/>
      <c r="F23" s="43"/>
      <c r="G23" s="46">
        <f>G22*C23</f>
        <v>205.65989630582402</v>
      </c>
    </row>
    <row r="28" spans="1:17" s="490" customFormat="1" ht="15">
      <c r="A28" s="1195" t="s">
        <v>781</v>
      </c>
      <c r="B28" s="1196"/>
      <c r="C28" s="1196"/>
      <c r="D28" s="1196"/>
      <c r="E28" s="1196"/>
      <c r="F28" s="1196"/>
      <c r="G28" s="1196"/>
      <c r="H28" s="1196"/>
      <c r="I28" s="1196"/>
      <c r="J28" s="1196"/>
      <c r="K28" s="1196"/>
      <c r="L28" s="1196"/>
      <c r="M28" s="1196"/>
      <c r="N28" s="1196"/>
      <c r="O28" s="1196"/>
      <c r="P28" s="1196"/>
      <c r="Q28" s="1196"/>
    </row>
    <row r="29" spans="1:17" ht="15">
      <c r="B29" s="192"/>
      <c r="C29" s="192"/>
      <c r="D29" s="194"/>
      <c r="E29" s="194"/>
      <c r="F29" s="194"/>
    </row>
    <row r="30" spans="1:17" ht="15">
      <c r="B30" s="192"/>
      <c r="C30" s="192"/>
      <c r="D30" s="194"/>
      <c r="E30" s="194"/>
      <c r="F30" s="194"/>
    </row>
    <row r="31" spans="1:17" ht="15">
      <c r="B31" s="192" t="s">
        <v>545</v>
      </c>
      <c r="C31" s="192"/>
      <c r="D31" s="1177"/>
      <c r="E31" s="1177"/>
      <c r="F31" s="1177"/>
    </row>
  </sheetData>
  <mergeCells count="19">
    <mergeCell ref="A10:A11"/>
    <mergeCell ref="G10:G11"/>
    <mergeCell ref="A12:A13"/>
    <mergeCell ref="G12:G13"/>
    <mergeCell ref="A15:A16"/>
    <mergeCell ref="B15:B16"/>
    <mergeCell ref="C15:C16"/>
    <mergeCell ref="D31:F31"/>
    <mergeCell ref="G15:G16"/>
    <mergeCell ref="A17:A18"/>
    <mergeCell ref="B17:B18"/>
    <mergeCell ref="G17:G18"/>
    <mergeCell ref="A28:Q28"/>
    <mergeCell ref="B3:G3"/>
    <mergeCell ref="B4:G4"/>
    <mergeCell ref="A8:A9"/>
    <mergeCell ref="B8:B9"/>
    <mergeCell ref="C8:C9"/>
    <mergeCell ref="G8:G9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topLeftCell="A4" workbookViewId="0">
      <selection activeCell="O26" sqref="O26"/>
    </sheetView>
  </sheetViews>
  <sheetFormatPr defaultRowHeight="12.75"/>
  <cols>
    <col min="1" max="1" width="6.7109375" style="38" bestFit="1" customWidth="1"/>
    <col min="2" max="2" width="24.85546875" style="38" customWidth="1"/>
    <col min="3" max="3" width="18" style="38" customWidth="1"/>
    <col min="4" max="4" width="9.140625" style="38" customWidth="1"/>
    <col min="5" max="5" width="10.28515625" style="38" bestFit="1" customWidth="1"/>
    <col min="6" max="6" width="9.140625" style="38" customWidth="1"/>
    <col min="7" max="7" width="12.42578125" style="38" customWidth="1"/>
    <col min="8" max="16384" width="9.140625" style="38"/>
  </cols>
  <sheetData>
    <row r="1" spans="1:7">
      <c r="B1" s="39"/>
    </row>
    <row r="2" spans="1:7">
      <c r="C2" s="15" t="s">
        <v>175</v>
      </c>
    </row>
    <row r="3" spans="1:7">
      <c r="B3" s="1188" t="s">
        <v>432</v>
      </c>
      <c r="C3" s="1188"/>
      <c r="D3" s="1188"/>
      <c r="E3" s="1188"/>
      <c r="F3" s="1188"/>
      <c r="G3" s="1188"/>
    </row>
    <row r="4" spans="1:7">
      <c r="C4" s="38" t="s">
        <v>85</v>
      </c>
      <c r="G4" s="42"/>
    </row>
    <row r="5" spans="1:7">
      <c r="B5" s="38" t="s">
        <v>86</v>
      </c>
      <c r="E5" s="40" t="s">
        <v>87</v>
      </c>
      <c r="F5" s="41">
        <f>ресурсы!D4</f>
        <v>72.260000000000005</v>
      </c>
      <c r="G5" s="42" t="s">
        <v>88</v>
      </c>
    </row>
    <row r="6" spans="1:7">
      <c r="B6" s="38" t="s">
        <v>89</v>
      </c>
      <c r="F6" s="38" t="s">
        <v>31</v>
      </c>
      <c r="G6" s="38" t="s">
        <v>91</v>
      </c>
    </row>
    <row r="7" spans="1:7" ht="12.75" customHeight="1">
      <c r="A7" s="1205" t="s">
        <v>26</v>
      </c>
      <c r="B7" s="1198" t="s">
        <v>93</v>
      </c>
      <c r="C7" s="1205" t="s">
        <v>94</v>
      </c>
      <c r="D7" s="281" t="s">
        <v>95</v>
      </c>
      <c r="E7" s="281" t="s">
        <v>96</v>
      </c>
      <c r="F7" s="281" t="s">
        <v>97</v>
      </c>
      <c r="G7" s="1205" t="s">
        <v>121</v>
      </c>
    </row>
    <row r="8" spans="1:7">
      <c r="A8" s="1205"/>
      <c r="B8" s="1198"/>
      <c r="C8" s="1205"/>
      <c r="D8" s="281" t="s">
        <v>99</v>
      </c>
      <c r="E8" s="281" t="s">
        <v>100</v>
      </c>
      <c r="F8" s="281"/>
      <c r="G8" s="1205"/>
    </row>
    <row r="9" spans="1:7" ht="25.5">
      <c r="A9" s="1198">
        <v>1</v>
      </c>
      <c r="B9" s="282" t="s">
        <v>837</v>
      </c>
      <c r="C9" s="1201" t="s">
        <v>122</v>
      </c>
      <c r="D9" s="281" t="s">
        <v>102</v>
      </c>
      <c r="E9" s="283">
        <f>E10*F5</f>
        <v>10.116400000000002</v>
      </c>
      <c r="F9" s="284">
        <v>10</v>
      </c>
      <c r="G9" s="1199">
        <f>E9*F9</f>
        <v>101.16400000000002</v>
      </c>
    </row>
    <row r="10" spans="1:7">
      <c r="A10" s="1198"/>
      <c r="B10" s="501" t="s">
        <v>838</v>
      </c>
      <c r="C10" s="1202"/>
      <c r="D10" s="281">
        <v>1</v>
      </c>
      <c r="E10" s="284">
        <v>0.14000000000000001</v>
      </c>
      <c r="F10" s="284"/>
      <c r="G10" s="1200"/>
    </row>
    <row r="11" spans="1:7" ht="12.75" customHeight="1">
      <c r="A11" s="1198">
        <v>2</v>
      </c>
      <c r="B11" s="281" t="s">
        <v>103</v>
      </c>
      <c r="C11" s="1205" t="s">
        <v>123</v>
      </c>
      <c r="D11" s="281" t="s">
        <v>105</v>
      </c>
      <c r="E11" s="283">
        <f>E12*F5</f>
        <v>174.14660000000003</v>
      </c>
      <c r="F11" s="284">
        <v>0.01</v>
      </c>
      <c r="G11" s="1199">
        <f>E11*F11</f>
        <v>1.7414660000000004</v>
      </c>
    </row>
    <row r="12" spans="1:7">
      <c r="A12" s="1198"/>
      <c r="B12" s="281" t="s">
        <v>124</v>
      </c>
      <c r="C12" s="1205"/>
      <c r="D12" s="281"/>
      <c r="E12" s="284">
        <v>2.41</v>
      </c>
      <c r="F12" s="281"/>
      <c r="G12" s="1200"/>
    </row>
    <row r="13" spans="1:7">
      <c r="A13" s="280">
        <v>3</v>
      </c>
      <c r="B13" s="281" t="s">
        <v>107</v>
      </c>
      <c r="C13" s="281"/>
      <c r="D13" s="281" t="s">
        <v>25</v>
      </c>
      <c r="E13" s="284">
        <f>ресурсы!D25</f>
        <v>9</v>
      </c>
      <c r="F13" s="284">
        <v>0.4</v>
      </c>
      <c r="G13" s="285">
        <f>E13*F13</f>
        <v>3.6</v>
      </c>
    </row>
    <row r="14" spans="1:7">
      <c r="A14" s="1198">
        <v>4</v>
      </c>
      <c r="B14" s="1205" t="s">
        <v>125</v>
      </c>
      <c r="C14" s="1206" t="s">
        <v>109</v>
      </c>
      <c r="D14" s="1205" t="s">
        <v>110</v>
      </c>
      <c r="E14" s="283">
        <f>E15*F5</f>
        <v>296.26600000000002</v>
      </c>
      <c r="F14" s="283">
        <v>5.0000000000000001E-4</v>
      </c>
      <c r="G14" s="1199">
        <f>E14*F14</f>
        <v>0.14813300000000001</v>
      </c>
    </row>
    <row r="15" spans="1:7">
      <c r="A15" s="1198"/>
      <c r="B15" s="1205"/>
      <c r="C15" s="1205"/>
      <c r="D15" s="1198"/>
      <c r="E15" s="284">
        <v>4.0999999999999996</v>
      </c>
      <c r="F15" s="281"/>
      <c r="G15" s="1200"/>
    </row>
    <row r="16" spans="1:7" ht="12.75" customHeight="1">
      <c r="A16" s="1198">
        <v>5</v>
      </c>
      <c r="B16" s="286" t="s">
        <v>126</v>
      </c>
      <c r="C16" s="1203" t="s">
        <v>127</v>
      </c>
      <c r="D16" s="280" t="s">
        <v>128</v>
      </c>
      <c r="E16" s="283">
        <f>E17*F5</f>
        <v>123.56460000000001</v>
      </c>
      <c r="F16" s="284">
        <v>1</v>
      </c>
      <c r="G16" s="1199">
        <f>E16*F16</f>
        <v>123.56460000000001</v>
      </c>
    </row>
    <row r="17" spans="1:17" ht="25.5">
      <c r="A17" s="1198"/>
      <c r="B17" s="287" t="s">
        <v>552</v>
      </c>
      <c r="C17" s="1204"/>
      <c r="D17" s="280">
        <v>1</v>
      </c>
      <c r="E17" s="284">
        <v>1.71</v>
      </c>
      <c r="F17" s="281"/>
      <c r="G17" s="1200"/>
    </row>
    <row r="18" spans="1:17">
      <c r="A18" s="1198">
        <v>6</v>
      </c>
      <c r="B18" s="1199" t="s">
        <v>553</v>
      </c>
      <c r="C18" s="1201" t="s">
        <v>129</v>
      </c>
      <c r="D18" s="280" t="s">
        <v>113</v>
      </c>
      <c r="E18" s="283">
        <f>E19*F5</f>
        <v>98.273600000000016</v>
      </c>
      <c r="F18" s="283">
        <v>0.02</v>
      </c>
      <c r="G18" s="1199">
        <f>E18*F18</f>
        <v>1.9654720000000003</v>
      </c>
    </row>
    <row r="19" spans="1:17">
      <c r="A19" s="1198"/>
      <c r="B19" s="1200"/>
      <c r="C19" s="1202"/>
      <c r="D19" s="280">
        <v>1</v>
      </c>
      <c r="E19" s="284">
        <v>1.36</v>
      </c>
      <c r="F19" s="281"/>
      <c r="G19" s="1200"/>
    </row>
    <row r="20" spans="1:17" ht="51">
      <c r="A20" s="280">
        <v>7</v>
      </c>
      <c r="B20" s="281" t="s">
        <v>554</v>
      </c>
      <c r="C20" s="281" t="s">
        <v>665</v>
      </c>
      <c r="D20" s="281" t="s">
        <v>130</v>
      </c>
      <c r="E20" s="283">
        <f>ресурсы!D15</f>
        <v>485.24</v>
      </c>
      <c r="F20" s="288">
        <v>1.6E-2</v>
      </c>
      <c r="G20" s="285">
        <f>E20*F20</f>
        <v>7.7638400000000001</v>
      </c>
    </row>
    <row r="21" spans="1:17" ht="37.5" customHeight="1">
      <c r="A21" s="279"/>
      <c r="B21" s="284"/>
      <c r="C21" s="280"/>
      <c r="D21" s="280"/>
      <c r="E21" s="284"/>
      <c r="F21" s="281"/>
      <c r="G21" s="284"/>
    </row>
    <row r="22" spans="1:17" ht="12.75" customHeight="1">
      <c r="A22" s="280"/>
      <c r="B22" s="281" t="s">
        <v>131</v>
      </c>
      <c r="C22" s="280"/>
      <c r="D22" s="280"/>
      <c r="E22" s="281"/>
      <c r="F22" s="281"/>
      <c r="G22" s="284">
        <f>G9+G11+G13+G14+G16+G18+G20</f>
        <v>239.94751100000002</v>
      </c>
    </row>
    <row r="23" spans="1:17">
      <c r="A23" s="280"/>
      <c r="B23" s="281" t="s">
        <v>117</v>
      </c>
      <c r="C23" s="280">
        <v>1.2</v>
      </c>
      <c r="D23" s="280"/>
      <c r="E23" s="281"/>
      <c r="F23" s="281"/>
      <c r="G23" s="284">
        <f>G22*C23</f>
        <v>287.93701320000002</v>
      </c>
    </row>
    <row r="24" spans="1:17">
      <c r="A24" s="280"/>
      <c r="B24" s="281" t="s">
        <v>118</v>
      </c>
      <c r="C24" s="280">
        <v>1.08</v>
      </c>
      <c r="D24" s="280"/>
      <c r="E24" s="281"/>
      <c r="F24" s="281"/>
      <c r="G24" s="284">
        <f>G23*C24</f>
        <v>310.97197425600007</v>
      </c>
    </row>
    <row r="25" spans="1:17">
      <c r="A25" s="280"/>
      <c r="B25" s="281" t="s">
        <v>132</v>
      </c>
      <c r="C25" s="280">
        <v>1.18</v>
      </c>
      <c r="D25" s="280"/>
      <c r="E25" s="281"/>
      <c r="F25" s="281"/>
      <c r="G25" s="284">
        <f>G24*C25</f>
        <v>366.94692962208006</v>
      </c>
    </row>
    <row r="31" spans="1:17" s="490" customFormat="1" ht="15">
      <c r="A31" s="1195" t="s">
        <v>781</v>
      </c>
      <c r="B31" s="1196"/>
      <c r="C31" s="1196"/>
      <c r="D31" s="1196"/>
      <c r="E31" s="1196"/>
      <c r="F31" s="1196"/>
      <c r="G31" s="1196"/>
      <c r="H31" s="1196"/>
      <c r="I31" s="1196"/>
      <c r="J31" s="1196"/>
      <c r="K31" s="1196"/>
      <c r="L31" s="1196"/>
      <c r="M31" s="1196"/>
      <c r="N31" s="1196"/>
      <c r="O31" s="1196"/>
      <c r="P31" s="1196"/>
      <c r="Q31" s="1196"/>
    </row>
    <row r="32" spans="1:17" ht="15">
      <c r="B32" s="192"/>
      <c r="C32" s="192"/>
      <c r="D32" s="194"/>
      <c r="E32" s="194"/>
      <c r="F32" s="194"/>
    </row>
    <row r="33" spans="2:6" ht="15">
      <c r="B33" s="192"/>
      <c r="C33" s="192"/>
      <c r="D33" s="194"/>
      <c r="E33" s="194"/>
      <c r="F33" s="194"/>
    </row>
    <row r="34" spans="2:6" ht="15">
      <c r="B34" s="192" t="s">
        <v>545</v>
      </c>
      <c r="C34" s="192"/>
      <c r="D34" s="1177"/>
      <c r="E34" s="1177"/>
      <c r="F34" s="1177"/>
    </row>
  </sheetData>
  <mergeCells count="25">
    <mergeCell ref="D34:F34"/>
    <mergeCell ref="G9:G10"/>
    <mergeCell ref="A11:A12"/>
    <mergeCell ref="C11:C12"/>
    <mergeCell ref="G11:G12"/>
    <mergeCell ref="A31:Q31"/>
    <mergeCell ref="A14:A15"/>
    <mergeCell ref="C14:C15"/>
    <mergeCell ref="D14:D15"/>
    <mergeCell ref="A9:A10"/>
    <mergeCell ref="C9:C10"/>
    <mergeCell ref="B3:G3"/>
    <mergeCell ref="A18:A19"/>
    <mergeCell ref="B18:B19"/>
    <mergeCell ref="C18:C19"/>
    <mergeCell ref="G18:G19"/>
    <mergeCell ref="G14:G15"/>
    <mergeCell ref="A16:A17"/>
    <mergeCell ref="C16:C17"/>
    <mergeCell ref="G16:G17"/>
    <mergeCell ref="B14:B15"/>
    <mergeCell ref="A7:A8"/>
    <mergeCell ref="B7:B8"/>
    <mergeCell ref="C7:C8"/>
    <mergeCell ref="G7:G8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scale="47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62"/>
  <sheetViews>
    <sheetView topLeftCell="A34" workbookViewId="0">
      <selection activeCell="E39" sqref="E39"/>
    </sheetView>
  </sheetViews>
  <sheetFormatPr defaultRowHeight="12.75"/>
  <cols>
    <col min="1" max="1" width="5.7109375" style="38" bestFit="1" customWidth="1"/>
    <col min="2" max="2" width="21.28515625" style="38" customWidth="1"/>
    <col min="3" max="3" width="18.7109375" style="38" customWidth="1"/>
    <col min="4" max="4" width="9.140625" style="38" customWidth="1"/>
    <col min="5" max="5" width="11.5703125" style="38" customWidth="1"/>
    <col min="6" max="6" width="9.140625" style="38" customWidth="1"/>
    <col min="7" max="7" width="11.140625" style="38" customWidth="1"/>
    <col min="8" max="16384" width="9.140625" style="38"/>
  </cols>
  <sheetData>
    <row r="1" spans="1:8">
      <c r="D1" s="15"/>
      <c r="E1" s="15"/>
      <c r="F1" s="15"/>
      <c r="G1" s="15"/>
    </row>
    <row r="2" spans="1:8">
      <c r="C2" s="15" t="s">
        <v>176</v>
      </c>
    </row>
    <row r="3" spans="1:8" ht="24.75" customHeight="1">
      <c r="B3" s="1188" t="s">
        <v>433</v>
      </c>
      <c r="C3" s="1188"/>
      <c r="D3" s="1188"/>
      <c r="E3" s="1188"/>
      <c r="F3" s="1188"/>
      <c r="G3" s="1188"/>
    </row>
    <row r="5" spans="1:8">
      <c r="B5" s="38" t="s">
        <v>86</v>
      </c>
      <c r="D5" s="40" t="s">
        <v>87</v>
      </c>
      <c r="E5" s="41">
        <f>ресурсы!D4</f>
        <v>72.260000000000005</v>
      </c>
      <c r="F5" s="38" t="s">
        <v>88</v>
      </c>
      <c r="G5" s="42"/>
    </row>
    <row r="6" spans="1:8">
      <c r="B6" s="38" t="s">
        <v>89</v>
      </c>
      <c r="F6" s="38" t="s">
        <v>133</v>
      </c>
    </row>
    <row r="7" spans="1:8" ht="12.75" customHeight="1">
      <c r="A7" s="1210" t="s">
        <v>92</v>
      </c>
      <c r="B7" s="209" t="s">
        <v>93</v>
      </c>
      <c r="C7" s="1210" t="s">
        <v>94</v>
      </c>
      <c r="D7" s="210" t="s">
        <v>95</v>
      </c>
      <c r="E7" s="210" t="s">
        <v>96</v>
      </c>
      <c r="F7" s="210" t="s">
        <v>97</v>
      </c>
      <c r="G7" s="1210" t="s">
        <v>98</v>
      </c>
      <c r="H7" s="38" t="s">
        <v>604</v>
      </c>
    </row>
    <row r="8" spans="1:8">
      <c r="A8" s="1210"/>
      <c r="B8" s="210"/>
      <c r="C8" s="1210"/>
      <c r="D8" s="210" t="s">
        <v>99</v>
      </c>
      <c r="E8" s="210" t="s">
        <v>100</v>
      </c>
      <c r="F8" s="210"/>
      <c r="G8" s="1210"/>
    </row>
    <row r="9" spans="1:8">
      <c r="A9" s="1209">
        <v>1</v>
      </c>
      <c r="B9" s="211" t="s">
        <v>134</v>
      </c>
      <c r="C9" s="210" t="s">
        <v>135</v>
      </c>
      <c r="D9" s="210" t="s">
        <v>136</v>
      </c>
      <c r="E9" s="212">
        <f>E10*E5</f>
        <v>574.4670000000001</v>
      </c>
      <c r="F9" s="213">
        <v>0.3</v>
      </c>
      <c r="G9" s="1211">
        <f>E9*F9</f>
        <v>172.34010000000004</v>
      </c>
      <c r="H9" s="1208">
        <f>E9*0.24</f>
        <v>137.87208000000001</v>
      </c>
    </row>
    <row r="10" spans="1:8">
      <c r="A10" s="1209"/>
      <c r="B10" s="210" t="s">
        <v>137</v>
      </c>
      <c r="C10" s="210"/>
      <c r="D10" s="210">
        <v>1</v>
      </c>
      <c r="E10" s="214">
        <v>7.95</v>
      </c>
      <c r="F10" s="213"/>
      <c r="G10" s="1210"/>
      <c r="H10" s="1208"/>
    </row>
    <row r="11" spans="1:8" ht="12.75" customHeight="1">
      <c r="A11" s="1209">
        <v>2</v>
      </c>
      <c r="B11" s="1210" t="s">
        <v>138</v>
      </c>
      <c r="C11" s="209" t="s">
        <v>112</v>
      </c>
      <c r="D11" s="209" t="s">
        <v>113</v>
      </c>
      <c r="E11" s="212">
        <f>E12*E5</f>
        <v>98.273600000000016</v>
      </c>
      <c r="F11" s="210">
        <v>0.06</v>
      </c>
      <c r="G11" s="1211">
        <f>E11*F11</f>
        <v>5.8964160000000003</v>
      </c>
    </row>
    <row r="12" spans="1:8">
      <c r="A12" s="1209"/>
      <c r="B12" s="1210"/>
      <c r="C12" s="209"/>
      <c r="D12" s="209">
        <v>1</v>
      </c>
      <c r="E12" s="214">
        <v>1.36</v>
      </c>
      <c r="F12" s="210"/>
      <c r="G12" s="1211"/>
    </row>
    <row r="13" spans="1:8" ht="51">
      <c r="A13" s="209">
        <v>3</v>
      </c>
      <c r="B13" s="210" t="s">
        <v>139</v>
      </c>
      <c r="C13" s="433" t="s">
        <v>664</v>
      </c>
      <c r="D13" s="210" t="s">
        <v>115</v>
      </c>
      <c r="E13" s="214">
        <f>ресурсы!D15</f>
        <v>485.24</v>
      </c>
      <c r="F13" s="210">
        <v>4.8000000000000001E-2</v>
      </c>
      <c r="G13" s="215">
        <f>E13*F13</f>
        <v>23.291520000000002</v>
      </c>
    </row>
    <row r="14" spans="1:8" ht="25.5">
      <c r="A14" s="209"/>
      <c r="B14" s="210" t="s">
        <v>140</v>
      </c>
      <c r="C14" s="209"/>
      <c r="D14" s="209"/>
      <c r="E14" s="210"/>
      <c r="F14" s="210"/>
      <c r="G14" s="214">
        <f>G9+G11+G13</f>
        <v>201.52803600000001</v>
      </c>
    </row>
    <row r="15" spans="1:8" ht="25.5">
      <c r="A15" s="209"/>
      <c r="B15" s="210" t="s">
        <v>117</v>
      </c>
      <c r="C15" s="209">
        <v>1.2</v>
      </c>
      <c r="D15" s="209"/>
      <c r="E15" s="210"/>
      <c r="F15" s="210"/>
      <c r="G15" s="214">
        <f>G14*C15</f>
        <v>241.83364320000001</v>
      </c>
    </row>
    <row r="16" spans="1:8" ht="25.5">
      <c r="A16" s="209"/>
      <c r="B16" s="210" t="s">
        <v>118</v>
      </c>
      <c r="C16" s="209">
        <v>1.08</v>
      </c>
      <c r="D16" s="209"/>
      <c r="E16" s="210"/>
      <c r="F16" s="210"/>
      <c r="G16" s="214">
        <f>G15*C16</f>
        <v>261.18033465600001</v>
      </c>
    </row>
    <row r="17" spans="1:17">
      <c r="A17" s="209"/>
      <c r="B17" s="210" t="s">
        <v>132</v>
      </c>
      <c r="C17" s="209">
        <v>1.18</v>
      </c>
      <c r="D17" s="209"/>
      <c r="E17" s="210"/>
      <c r="F17" s="210"/>
      <c r="G17" s="218">
        <f>G16*C17</f>
        <v>308.19279489408001</v>
      </c>
    </row>
    <row r="18" spans="1:17">
      <c r="A18" s="216"/>
      <c r="B18" s="210"/>
      <c r="C18" s="209"/>
      <c r="D18" s="209"/>
      <c r="E18" s="210"/>
      <c r="F18" s="210"/>
      <c r="G18" s="217"/>
    </row>
    <row r="19" spans="1:17" ht="25.5">
      <c r="A19" s="216"/>
      <c r="B19" s="210" t="s">
        <v>498</v>
      </c>
      <c r="C19" s="209"/>
      <c r="D19" s="209"/>
      <c r="E19" s="210"/>
      <c r="F19" s="210"/>
      <c r="G19" s="217">
        <f>H9+G11</f>
        <v>143.768496</v>
      </c>
    </row>
    <row r="20" spans="1:17" ht="25.5">
      <c r="A20" s="216"/>
      <c r="B20" s="210" t="s">
        <v>499</v>
      </c>
      <c r="C20" s="209">
        <v>1.1200000000000001</v>
      </c>
      <c r="D20" s="209"/>
      <c r="E20" s="210"/>
      <c r="F20" s="210"/>
      <c r="G20" s="217">
        <f>G19*C20</f>
        <v>161.02071552000001</v>
      </c>
    </row>
    <row r="21" spans="1:17" ht="25.5">
      <c r="A21" s="216"/>
      <c r="B21" s="210" t="s">
        <v>500</v>
      </c>
      <c r="C21" s="209"/>
      <c r="D21" s="209"/>
      <c r="E21" s="210"/>
      <c r="F21" s="210"/>
      <c r="G21" s="217">
        <f>G20+G13</f>
        <v>184.31223552</v>
      </c>
    </row>
    <row r="22" spans="1:17" ht="25.5">
      <c r="A22" s="216"/>
      <c r="B22" s="210" t="s">
        <v>117</v>
      </c>
      <c r="C22" s="209">
        <v>1.2</v>
      </c>
      <c r="D22" s="209"/>
      <c r="E22" s="210"/>
      <c r="F22" s="210"/>
      <c r="G22" s="217">
        <f>G21*C22</f>
        <v>221.17468262399998</v>
      </c>
    </row>
    <row r="23" spans="1:17" ht="25.5">
      <c r="A23" s="216"/>
      <c r="B23" s="210" t="s">
        <v>118</v>
      </c>
      <c r="C23" s="209">
        <v>1.08</v>
      </c>
      <c r="D23" s="209"/>
      <c r="E23" s="210"/>
      <c r="F23" s="210"/>
      <c r="G23" s="217">
        <f>G22*C23</f>
        <v>238.86865723392</v>
      </c>
    </row>
    <row r="24" spans="1:17">
      <c r="A24" s="216"/>
      <c r="B24" s="210" t="s">
        <v>132</v>
      </c>
      <c r="C24" s="209">
        <v>1.18</v>
      </c>
      <c r="D24" s="209"/>
      <c r="E24" s="210"/>
      <c r="F24" s="210"/>
      <c r="G24" s="218">
        <f>G23*C24</f>
        <v>281.86501553602557</v>
      </c>
    </row>
    <row r="29" spans="1:17" s="490" customFormat="1" ht="15">
      <c r="A29" s="1195" t="s">
        <v>781</v>
      </c>
      <c r="B29" s="1196"/>
      <c r="C29" s="1196"/>
      <c r="D29" s="1196"/>
      <c r="E29" s="1196"/>
      <c r="F29" s="1196"/>
      <c r="G29" s="1196"/>
      <c r="H29" s="1196"/>
      <c r="I29" s="1196"/>
      <c r="J29" s="1196"/>
      <c r="K29" s="1196"/>
      <c r="L29" s="1196"/>
      <c r="M29" s="1196"/>
      <c r="N29" s="1196"/>
      <c r="O29" s="1196"/>
      <c r="P29" s="1196"/>
      <c r="Q29" s="1196"/>
    </row>
    <row r="30" spans="1:17" ht="15">
      <c r="B30" s="192"/>
      <c r="C30" s="192"/>
      <c r="D30" s="194"/>
      <c r="E30" s="194"/>
      <c r="F30" s="194"/>
    </row>
    <row r="31" spans="1:17" ht="15">
      <c r="B31" s="192"/>
      <c r="C31" s="192"/>
      <c r="D31" s="194"/>
      <c r="E31" s="194"/>
      <c r="F31" s="194"/>
    </row>
    <row r="32" spans="1:17" ht="15">
      <c r="B32" s="192" t="s">
        <v>545</v>
      </c>
      <c r="C32" s="192"/>
      <c r="D32" s="1177"/>
      <c r="E32" s="1177"/>
      <c r="F32" s="1177"/>
    </row>
    <row r="35" spans="1:8">
      <c r="A35" s="658"/>
      <c r="B35" s="658"/>
      <c r="C35" s="658"/>
      <c r="D35" s="661"/>
      <c r="E35" s="661"/>
      <c r="F35" s="661"/>
      <c r="G35" s="661"/>
      <c r="H35" s="658"/>
    </row>
    <row r="36" spans="1:8">
      <c r="A36" s="658"/>
      <c r="B36" s="658"/>
      <c r="C36" s="661" t="s">
        <v>176</v>
      </c>
      <c r="D36" s="658"/>
      <c r="E36" s="658"/>
      <c r="F36" s="658"/>
      <c r="G36" s="658"/>
      <c r="H36" s="658"/>
    </row>
    <row r="37" spans="1:8">
      <c r="A37" s="658"/>
      <c r="B37" s="1188" t="s">
        <v>433</v>
      </c>
      <c r="C37" s="1188"/>
      <c r="D37" s="1188"/>
      <c r="E37" s="1188"/>
      <c r="F37" s="1188"/>
      <c r="G37" s="1188"/>
      <c r="H37" s="658"/>
    </row>
    <row r="38" spans="1:8">
      <c r="A38" s="658"/>
      <c r="B38" s="658"/>
      <c r="C38" s="658"/>
      <c r="D38" s="658"/>
      <c r="E38" s="658"/>
      <c r="F38" s="658"/>
      <c r="G38" s="658"/>
      <c r="H38" s="658"/>
    </row>
    <row r="39" spans="1:8">
      <c r="A39" s="658"/>
      <c r="B39" s="658" t="s">
        <v>86</v>
      </c>
      <c r="C39" s="658"/>
      <c r="D39" s="40" t="s">
        <v>87</v>
      </c>
      <c r="E39" s="41" t="s">
        <v>844</v>
      </c>
      <c r="F39" s="658" t="s">
        <v>88</v>
      </c>
      <c r="G39" s="42"/>
      <c r="H39" s="658"/>
    </row>
    <row r="40" spans="1:8">
      <c r="A40" s="658"/>
      <c r="B40" s="658" t="s">
        <v>89</v>
      </c>
      <c r="C40" s="658"/>
      <c r="D40" s="658"/>
      <c r="E40" s="658"/>
      <c r="F40" s="658" t="s">
        <v>133</v>
      </c>
      <c r="G40" s="658"/>
      <c r="H40" s="658"/>
    </row>
    <row r="41" spans="1:8">
      <c r="A41" s="1210" t="s">
        <v>92</v>
      </c>
      <c r="B41" s="209" t="s">
        <v>93</v>
      </c>
      <c r="C41" s="1210" t="s">
        <v>94</v>
      </c>
      <c r="D41" s="659" t="s">
        <v>95</v>
      </c>
      <c r="E41" s="659" t="s">
        <v>96</v>
      </c>
      <c r="F41" s="659" t="s">
        <v>97</v>
      </c>
      <c r="G41" s="1210" t="s">
        <v>98</v>
      </c>
      <c r="H41" s="658" t="s">
        <v>604</v>
      </c>
    </row>
    <row r="42" spans="1:8">
      <c r="A42" s="1210"/>
      <c r="B42" s="659"/>
      <c r="C42" s="1210"/>
      <c r="D42" s="659" t="s">
        <v>99</v>
      </c>
      <c r="E42" s="659" t="s">
        <v>100</v>
      </c>
      <c r="F42" s="659"/>
      <c r="G42" s="1210"/>
      <c r="H42" s="658"/>
    </row>
    <row r="43" spans="1:8">
      <c r="A43" s="1209">
        <v>1</v>
      </c>
      <c r="B43" s="211" t="s">
        <v>134</v>
      </c>
      <c r="C43" s="659" t="s">
        <v>135</v>
      </c>
      <c r="D43" s="659" t="s">
        <v>136</v>
      </c>
      <c r="E43" s="212">
        <f>E5*E10*0.24</f>
        <v>137.87208000000001</v>
      </c>
      <c r="F43" s="213">
        <v>0.3</v>
      </c>
      <c r="G43" s="1211">
        <f>E43*F43</f>
        <v>41.361623999999999</v>
      </c>
      <c r="H43" s="1207">
        <f>G43</f>
        <v>41.361623999999999</v>
      </c>
    </row>
    <row r="44" spans="1:8">
      <c r="A44" s="1209"/>
      <c r="B44" s="659" t="s">
        <v>137</v>
      </c>
      <c r="C44" s="659"/>
      <c r="D44" s="659">
        <v>1</v>
      </c>
      <c r="E44" s="660">
        <v>7.95</v>
      </c>
      <c r="F44" s="213"/>
      <c r="G44" s="1210"/>
      <c r="H44" s="1208"/>
    </row>
    <row r="45" spans="1:8">
      <c r="A45" s="1209">
        <v>2</v>
      </c>
      <c r="B45" s="1210" t="s">
        <v>138</v>
      </c>
      <c r="C45" s="209" t="s">
        <v>112</v>
      </c>
      <c r="D45" s="209" t="s">
        <v>113</v>
      </c>
      <c r="E45" s="212">
        <f>E5*E12</f>
        <v>98.273600000000016</v>
      </c>
      <c r="F45" s="659">
        <v>0.06</v>
      </c>
      <c r="G45" s="1211">
        <f>E45*F45</f>
        <v>5.8964160000000003</v>
      </c>
      <c r="H45" s="658"/>
    </row>
    <row r="46" spans="1:8">
      <c r="A46" s="1209"/>
      <c r="B46" s="1210"/>
      <c r="C46" s="209"/>
      <c r="D46" s="209">
        <v>1</v>
      </c>
      <c r="E46" s="660">
        <v>1.36</v>
      </c>
      <c r="F46" s="659"/>
      <c r="G46" s="1211"/>
      <c r="H46" s="658"/>
    </row>
    <row r="47" spans="1:8" ht="51">
      <c r="A47" s="209">
        <v>3</v>
      </c>
      <c r="B47" s="659" t="s">
        <v>139</v>
      </c>
      <c r="C47" s="433" t="s">
        <v>664</v>
      </c>
      <c r="D47" s="659" t="s">
        <v>115</v>
      </c>
      <c r="E47" s="660">
        <f>ресурсы!D49</f>
        <v>0</v>
      </c>
      <c r="F47" s="659">
        <v>4.8000000000000001E-2</v>
      </c>
      <c r="G47" s="215">
        <f>E47*F47</f>
        <v>0</v>
      </c>
      <c r="H47" s="658"/>
    </row>
    <row r="48" spans="1:8" ht="25.5">
      <c r="A48" s="209"/>
      <c r="B48" s="659" t="s">
        <v>140</v>
      </c>
      <c r="C48" s="209"/>
      <c r="D48" s="209"/>
      <c r="E48" s="659"/>
      <c r="F48" s="659"/>
      <c r="G48" s="660">
        <f>G43+G45+G47</f>
        <v>47.258040000000001</v>
      </c>
      <c r="H48" s="658"/>
    </row>
    <row r="49" spans="1:8" ht="25.5">
      <c r="A49" s="209"/>
      <c r="B49" s="659" t="s">
        <v>117</v>
      </c>
      <c r="C49" s="209">
        <v>1.2</v>
      </c>
      <c r="D49" s="209"/>
      <c r="E49" s="659"/>
      <c r="F49" s="659"/>
      <c r="G49" s="660">
        <f>G48*C49</f>
        <v>56.709648000000001</v>
      </c>
      <c r="H49" s="658"/>
    </row>
    <row r="50" spans="1:8" ht="25.5">
      <c r="A50" s="209"/>
      <c r="B50" s="659" t="s">
        <v>118</v>
      </c>
      <c r="C50" s="209">
        <v>1.08</v>
      </c>
      <c r="D50" s="209"/>
      <c r="E50" s="659"/>
      <c r="F50" s="659"/>
      <c r="G50" s="660">
        <f>G49*C50</f>
        <v>61.246419840000009</v>
      </c>
      <c r="H50" s="658"/>
    </row>
    <row r="51" spans="1:8">
      <c r="A51" s="209"/>
      <c r="B51" s="659" t="s">
        <v>132</v>
      </c>
      <c r="C51" s="209">
        <v>1.18</v>
      </c>
      <c r="D51" s="209"/>
      <c r="E51" s="659"/>
      <c r="F51" s="659"/>
      <c r="G51" s="218">
        <f>G50*C51</f>
        <v>72.270775411200006</v>
      </c>
      <c r="H51" s="658"/>
    </row>
    <row r="52" spans="1:8">
      <c r="A52" s="216"/>
      <c r="B52" s="659"/>
      <c r="C52" s="209"/>
      <c r="D52" s="209"/>
      <c r="E52" s="659"/>
      <c r="F52" s="659"/>
      <c r="G52" s="217"/>
      <c r="H52" s="658"/>
    </row>
    <row r="53" spans="1:8" ht="25.5">
      <c r="A53" s="216"/>
      <c r="B53" s="659" t="s">
        <v>498</v>
      </c>
      <c r="C53" s="209"/>
      <c r="D53" s="209"/>
      <c r="E53" s="659"/>
      <c r="F53" s="659"/>
      <c r="G53" s="217">
        <f>H43+G45</f>
        <v>47.258040000000001</v>
      </c>
      <c r="H53" s="658"/>
    </row>
    <row r="54" spans="1:8" ht="25.5">
      <c r="A54" s="216"/>
      <c r="B54" s="659" t="s">
        <v>499</v>
      </c>
      <c r="C54" s="209">
        <v>1.1200000000000001</v>
      </c>
      <c r="D54" s="209"/>
      <c r="E54" s="659"/>
      <c r="F54" s="659"/>
      <c r="G54" s="217">
        <f>G53*C54</f>
        <v>52.929004800000008</v>
      </c>
      <c r="H54" s="658"/>
    </row>
    <row r="55" spans="1:8" ht="25.5">
      <c r="A55" s="216"/>
      <c r="B55" s="659" t="s">
        <v>500</v>
      </c>
      <c r="C55" s="209"/>
      <c r="D55" s="209"/>
      <c r="E55" s="659"/>
      <c r="F55" s="659"/>
      <c r="G55" s="217">
        <f>G54+G47</f>
        <v>52.929004800000008</v>
      </c>
      <c r="H55" s="658"/>
    </row>
    <row r="56" spans="1:8" ht="25.5">
      <c r="A56" s="216"/>
      <c r="B56" s="659" t="s">
        <v>117</v>
      </c>
      <c r="C56" s="209">
        <v>1.2</v>
      </c>
      <c r="D56" s="209"/>
      <c r="E56" s="659"/>
      <c r="F56" s="659"/>
      <c r="G56" s="217">
        <f>G55*C56</f>
        <v>63.514805760000009</v>
      </c>
      <c r="H56" s="658"/>
    </row>
    <row r="57" spans="1:8" ht="25.5">
      <c r="A57" s="216"/>
      <c r="B57" s="659" t="s">
        <v>118</v>
      </c>
      <c r="C57" s="209">
        <v>1.08</v>
      </c>
      <c r="D57" s="209"/>
      <c r="E57" s="659"/>
      <c r="F57" s="659"/>
      <c r="G57" s="217">
        <f>G56*C57</f>
        <v>68.595990220800019</v>
      </c>
      <c r="H57" s="658"/>
    </row>
    <row r="58" spans="1:8">
      <c r="A58" s="216"/>
      <c r="B58" s="659" t="s">
        <v>132</v>
      </c>
      <c r="C58" s="209">
        <v>1.18</v>
      </c>
      <c r="D58" s="209"/>
      <c r="E58" s="659"/>
      <c r="F58" s="659"/>
      <c r="G58" s="218">
        <f>G57*C58</f>
        <v>80.943268460544019</v>
      </c>
      <c r="H58" s="658"/>
    </row>
    <row r="59" spans="1:8">
      <c r="A59" s="658"/>
      <c r="B59" s="658"/>
      <c r="C59" s="658"/>
      <c r="D59" s="658"/>
      <c r="E59" s="658"/>
      <c r="F59" s="658"/>
      <c r="G59" s="658"/>
      <c r="H59" s="658"/>
    </row>
    <row r="60" spans="1:8">
      <c r="A60" s="658"/>
      <c r="B60" s="658"/>
      <c r="C60" s="658"/>
      <c r="D60" s="658"/>
      <c r="E60" s="658"/>
      <c r="F60" s="658"/>
      <c r="G60" s="658"/>
      <c r="H60" s="658"/>
    </row>
    <row r="61" spans="1:8">
      <c r="A61" s="658"/>
      <c r="B61" s="658"/>
      <c r="C61" s="658"/>
      <c r="D61" s="658"/>
      <c r="E61" s="658"/>
      <c r="F61" s="658"/>
      <c r="G61" s="658"/>
      <c r="H61" s="658"/>
    </row>
    <row r="62" spans="1:8">
      <c r="A62" s="658"/>
      <c r="B62" s="658"/>
      <c r="C62" s="658"/>
      <c r="D62" s="658"/>
      <c r="E62" s="658"/>
      <c r="F62" s="658"/>
      <c r="G62" s="658"/>
      <c r="H62" s="658"/>
    </row>
  </sheetData>
  <mergeCells count="22">
    <mergeCell ref="B3:G3"/>
    <mergeCell ref="A7:A8"/>
    <mergeCell ref="C7:C8"/>
    <mergeCell ref="G7:G8"/>
    <mergeCell ref="D32:F32"/>
    <mergeCell ref="A9:A10"/>
    <mergeCell ref="G9:G10"/>
    <mergeCell ref="A11:A12"/>
    <mergeCell ref="B11:B12"/>
    <mergeCell ref="G11:G12"/>
    <mergeCell ref="A29:Q29"/>
    <mergeCell ref="H9:H10"/>
    <mergeCell ref="H43:H44"/>
    <mergeCell ref="A45:A46"/>
    <mergeCell ref="B45:B46"/>
    <mergeCell ref="G45:G46"/>
    <mergeCell ref="B37:G37"/>
    <mergeCell ref="A41:A42"/>
    <mergeCell ref="C41:C42"/>
    <mergeCell ref="G41:G42"/>
    <mergeCell ref="A43:A44"/>
    <mergeCell ref="G43:G44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scale="48" orientation="portrait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>
  <dimension ref="A1:Q50"/>
  <sheetViews>
    <sheetView topLeftCell="A28" workbookViewId="0">
      <selection activeCell="D58" sqref="D58"/>
    </sheetView>
  </sheetViews>
  <sheetFormatPr defaultRowHeight="12.75"/>
  <cols>
    <col min="1" max="1" width="5.7109375" style="52" bestFit="1" customWidth="1"/>
    <col min="2" max="2" width="18.42578125" style="52" customWidth="1"/>
    <col min="3" max="3" width="16.7109375" style="52" customWidth="1"/>
    <col min="4" max="4" width="9.140625" style="52" customWidth="1"/>
    <col min="5" max="5" width="12.140625" style="52" customWidth="1"/>
    <col min="6" max="6" width="11.85546875" style="52" customWidth="1"/>
    <col min="7" max="7" width="11.140625" style="52" customWidth="1"/>
    <col min="8" max="10" width="9.140625" style="52" customWidth="1"/>
    <col min="11" max="11" width="8.85546875" style="52" customWidth="1"/>
    <col min="12" max="12" width="9.28515625" style="52" bestFit="1" customWidth="1"/>
    <col min="13" max="13" width="11" style="52" bestFit="1" customWidth="1"/>
    <col min="14" max="14" width="9" style="52" customWidth="1"/>
    <col min="15" max="15" width="7.85546875" style="52" customWidth="1"/>
    <col min="16" max="16384" width="9.140625" style="52"/>
  </cols>
  <sheetData>
    <row r="1" spans="1:7">
      <c r="B1" s="1212" t="s">
        <v>434</v>
      </c>
      <c r="C1" s="1212"/>
      <c r="D1" s="1212"/>
      <c r="E1" s="1212"/>
      <c r="F1" s="1212"/>
      <c r="G1" s="1212"/>
    </row>
    <row r="2" spans="1:7">
      <c r="B2" s="1212" t="s">
        <v>141</v>
      </c>
      <c r="C2" s="1212"/>
      <c r="D2" s="1212"/>
      <c r="E2" s="1212"/>
      <c r="F2" s="1212"/>
      <c r="G2" s="1212"/>
    </row>
    <row r="3" spans="1:7">
      <c r="A3" s="58" t="s">
        <v>142</v>
      </c>
      <c r="C3" s="1213" t="s">
        <v>143</v>
      </c>
      <c r="D3" s="1213"/>
    </row>
    <row r="4" spans="1:7">
      <c r="A4" s="58" t="s">
        <v>144</v>
      </c>
      <c r="E4" s="59" t="s">
        <v>145</v>
      </c>
      <c r="F4" s="52">
        <f>ресурсы!D4</f>
        <v>72.260000000000005</v>
      </c>
      <c r="G4" s="52" t="s">
        <v>88</v>
      </c>
    </row>
    <row r="5" spans="1:7">
      <c r="A5" s="58"/>
      <c r="B5" s="60" t="s">
        <v>146</v>
      </c>
    </row>
    <row r="6" spans="1:7">
      <c r="A6" s="58"/>
      <c r="B6" s="53" t="s">
        <v>89</v>
      </c>
      <c r="F6" s="52" t="s">
        <v>147</v>
      </c>
    </row>
    <row r="7" spans="1:7">
      <c r="A7" s="1218" t="s">
        <v>26</v>
      </c>
      <c r="B7" s="1218" t="s">
        <v>148</v>
      </c>
      <c r="C7" s="1218" t="s">
        <v>149</v>
      </c>
      <c r="D7" s="61" t="s">
        <v>57</v>
      </c>
      <c r="E7" s="61" t="s">
        <v>96</v>
      </c>
      <c r="F7" s="61" t="s">
        <v>97</v>
      </c>
      <c r="G7" s="1218" t="s">
        <v>98</v>
      </c>
    </row>
    <row r="8" spans="1:7">
      <c r="A8" s="1219"/>
      <c r="B8" s="1219"/>
      <c r="C8" s="1219"/>
      <c r="D8" s="62" t="s">
        <v>150</v>
      </c>
      <c r="E8" s="62" t="s">
        <v>151</v>
      </c>
      <c r="F8" s="62"/>
      <c r="G8" s="1219"/>
    </row>
    <row r="9" spans="1:7">
      <c r="A9" s="1218">
        <v>1</v>
      </c>
      <c r="B9" s="1220" t="s">
        <v>152</v>
      </c>
      <c r="C9" s="1218" t="s">
        <v>153</v>
      </c>
      <c r="D9" s="62" t="s">
        <v>90</v>
      </c>
      <c r="E9" s="63">
        <f>E10*F4</f>
        <v>112.00300000000001</v>
      </c>
      <c r="F9" s="63">
        <v>1</v>
      </c>
      <c r="G9" s="1214">
        <f>F9*E9</f>
        <v>112.00300000000001</v>
      </c>
    </row>
    <row r="10" spans="1:7" ht="52.5" customHeight="1">
      <c r="A10" s="1219"/>
      <c r="B10" s="1221"/>
      <c r="C10" s="1219"/>
      <c r="D10" s="62" t="s">
        <v>0</v>
      </c>
      <c r="E10" s="64">
        <v>1.55</v>
      </c>
      <c r="F10" s="64"/>
      <c r="G10" s="1215"/>
    </row>
    <row r="11" spans="1:7">
      <c r="A11" s="1218">
        <v>2</v>
      </c>
      <c r="B11" s="1220" t="s">
        <v>154</v>
      </c>
      <c r="C11" s="1222" t="s">
        <v>155</v>
      </c>
      <c r="D11" s="62" t="s">
        <v>22</v>
      </c>
      <c r="E11" s="65">
        <f>E12*F4</f>
        <v>174.14660000000003</v>
      </c>
      <c r="F11" s="64">
        <f>100*1/1000</f>
        <v>0.1</v>
      </c>
      <c r="G11" s="1214">
        <f>F11*E11</f>
        <v>17.414660000000005</v>
      </c>
    </row>
    <row r="12" spans="1:7" ht="52.5" customHeight="1">
      <c r="A12" s="1219"/>
      <c r="B12" s="1221"/>
      <c r="C12" s="1223"/>
      <c r="D12" s="62" t="s">
        <v>87</v>
      </c>
      <c r="E12" s="64">
        <v>2.41</v>
      </c>
      <c r="F12" s="66"/>
      <c r="G12" s="1215"/>
    </row>
    <row r="13" spans="1:7">
      <c r="A13" s="1218">
        <v>3</v>
      </c>
      <c r="B13" s="1220" t="s">
        <v>156</v>
      </c>
      <c r="C13" s="1222" t="s">
        <v>157</v>
      </c>
      <c r="D13" s="67" t="s">
        <v>158</v>
      </c>
      <c r="E13" s="68">
        <f>E14*F4</f>
        <v>98.273600000000016</v>
      </c>
      <c r="F13" s="69">
        <f>F11</f>
        <v>0.1</v>
      </c>
      <c r="G13" s="1214">
        <f>E13*F13</f>
        <v>9.8273600000000023</v>
      </c>
    </row>
    <row r="14" spans="1:7" ht="28.5" customHeight="1">
      <c r="A14" s="1219"/>
      <c r="B14" s="1221"/>
      <c r="C14" s="1223"/>
      <c r="D14" s="67" t="s">
        <v>0</v>
      </c>
      <c r="E14" s="69">
        <v>1.36</v>
      </c>
      <c r="F14" s="70"/>
      <c r="G14" s="1215"/>
    </row>
    <row r="15" spans="1:7" ht="25.5">
      <c r="A15" s="1218">
        <v>4</v>
      </c>
      <c r="B15" s="73" t="s">
        <v>159</v>
      </c>
      <c r="C15" s="1218" t="s">
        <v>664</v>
      </c>
      <c r="D15" s="1218" t="s">
        <v>160</v>
      </c>
      <c r="E15" s="1225">
        <f>ресурсы!D15</f>
        <v>485.24</v>
      </c>
      <c r="F15" s="1214">
        <f>F13*4/5</f>
        <v>0.08</v>
      </c>
      <c r="G15" s="1216">
        <f>E15*F15</f>
        <v>38.819200000000002</v>
      </c>
    </row>
    <row r="16" spans="1:7" ht="25.5">
      <c r="A16" s="1219"/>
      <c r="B16" s="74" t="s">
        <v>161</v>
      </c>
      <c r="C16" s="1219"/>
      <c r="D16" s="1219"/>
      <c r="E16" s="1226"/>
      <c r="F16" s="1215"/>
      <c r="G16" s="1217"/>
    </row>
    <row r="17" spans="1:7">
      <c r="A17" s="10"/>
      <c r="B17" s="75" t="s">
        <v>162</v>
      </c>
      <c r="C17" s="56"/>
      <c r="D17" s="56"/>
      <c r="E17" s="56"/>
      <c r="F17" s="56"/>
      <c r="G17" s="71">
        <f>SUM(G9:G16)</f>
        <v>178.06422000000001</v>
      </c>
    </row>
    <row r="18" spans="1:7" ht="25.5">
      <c r="A18" s="10"/>
      <c r="B18" s="72" t="s">
        <v>163</v>
      </c>
      <c r="C18" s="71">
        <v>1.2</v>
      </c>
      <c r="D18" s="71"/>
      <c r="E18" s="71"/>
      <c r="F18" s="71"/>
      <c r="G18" s="71">
        <f>G17*C18</f>
        <v>213.677064</v>
      </c>
    </row>
    <row r="19" spans="1:7" ht="25.5">
      <c r="A19" s="12"/>
      <c r="B19" s="72" t="s">
        <v>164</v>
      </c>
      <c r="C19" s="71">
        <v>1.08</v>
      </c>
      <c r="D19" s="71"/>
      <c r="E19" s="71"/>
      <c r="F19" s="71"/>
      <c r="G19" s="71">
        <f>G18*C19</f>
        <v>230.77122912000002</v>
      </c>
    </row>
    <row r="20" spans="1:7">
      <c r="A20" s="56"/>
      <c r="B20" s="50" t="s">
        <v>132</v>
      </c>
      <c r="C20" s="56">
        <v>1.18</v>
      </c>
      <c r="D20" s="56"/>
      <c r="E20" s="54"/>
      <c r="F20" s="54"/>
      <c r="G20" s="55">
        <f>G19*C20</f>
        <v>272.31005036160002</v>
      </c>
    </row>
    <row r="23" spans="1:7" ht="18.75" customHeight="1">
      <c r="B23" s="1212" t="s">
        <v>435</v>
      </c>
      <c r="C23" s="1212"/>
      <c r="D23" s="1212"/>
      <c r="E23" s="1212"/>
      <c r="F23" s="1212"/>
      <c r="G23" s="1212"/>
    </row>
    <row r="24" spans="1:7" ht="30" customHeight="1">
      <c r="B24" s="1212" t="s">
        <v>66</v>
      </c>
      <c r="C24" s="1188"/>
      <c r="D24" s="1188"/>
      <c r="E24" s="1188"/>
      <c r="F24" s="1188"/>
      <c r="G24" s="1188"/>
    </row>
    <row r="25" spans="1:7">
      <c r="A25" s="58" t="s">
        <v>142</v>
      </c>
      <c r="C25" s="1171"/>
      <c r="D25" s="1171"/>
    </row>
    <row r="26" spans="1:7">
      <c r="A26" s="58" t="s">
        <v>144</v>
      </c>
      <c r="E26" s="59" t="s">
        <v>145</v>
      </c>
      <c r="F26" s="52">
        <f>ресурсы!D4</f>
        <v>72.260000000000005</v>
      </c>
      <c r="G26" s="52" t="s">
        <v>88</v>
      </c>
    </row>
    <row r="27" spans="1:7">
      <c r="A27" s="58"/>
      <c r="B27" s="60" t="s">
        <v>146</v>
      </c>
    </row>
    <row r="28" spans="1:7">
      <c r="A28" s="58"/>
      <c r="B28" s="53" t="s">
        <v>89</v>
      </c>
      <c r="F28" s="52" t="s">
        <v>165</v>
      </c>
    </row>
    <row r="29" spans="1:7">
      <c r="A29" s="1218" t="s">
        <v>26</v>
      </c>
      <c r="B29" s="1218" t="s">
        <v>148</v>
      </c>
      <c r="C29" s="1218" t="s">
        <v>149</v>
      </c>
      <c r="D29" s="61" t="s">
        <v>57</v>
      </c>
      <c r="E29" s="61" t="s">
        <v>96</v>
      </c>
      <c r="F29" s="61" t="s">
        <v>97</v>
      </c>
      <c r="G29" s="1218" t="s">
        <v>98</v>
      </c>
    </row>
    <row r="30" spans="1:7">
      <c r="A30" s="1219"/>
      <c r="B30" s="1219"/>
      <c r="C30" s="1224"/>
      <c r="D30" s="62" t="s">
        <v>150</v>
      </c>
      <c r="E30" s="62" t="s">
        <v>151</v>
      </c>
      <c r="F30" s="62"/>
      <c r="G30" s="1224"/>
    </row>
    <row r="31" spans="1:7">
      <c r="A31" s="1218">
        <v>1</v>
      </c>
      <c r="B31" s="1220" t="s">
        <v>955</v>
      </c>
      <c r="C31" s="1218" t="s">
        <v>153</v>
      </c>
      <c r="D31" s="62" t="s">
        <v>90</v>
      </c>
      <c r="E31" s="63">
        <f>E32*F26</f>
        <v>2.1678000000000002</v>
      </c>
      <c r="F31" s="63">
        <v>10</v>
      </c>
      <c r="G31" s="1214">
        <f>F31*E31</f>
        <v>21.678000000000001</v>
      </c>
    </row>
    <row r="32" spans="1:7" ht="51" customHeight="1">
      <c r="A32" s="1219"/>
      <c r="B32" s="1221"/>
      <c r="C32" s="1219"/>
      <c r="D32" s="62" t="s">
        <v>0</v>
      </c>
      <c r="E32" s="64">
        <v>0.03</v>
      </c>
      <c r="F32" s="64"/>
      <c r="G32" s="1215"/>
    </row>
    <row r="33" spans="1:17">
      <c r="A33" s="1218">
        <v>2</v>
      </c>
      <c r="B33" s="1220" t="s">
        <v>166</v>
      </c>
      <c r="C33" s="1222" t="s">
        <v>155</v>
      </c>
      <c r="D33" s="62" t="s">
        <v>22</v>
      </c>
      <c r="E33" s="65">
        <f>E34*F26</f>
        <v>174.14660000000003</v>
      </c>
      <c r="F33" s="64">
        <f>20/1000</f>
        <v>0.02</v>
      </c>
      <c r="G33" s="1214">
        <f>F33*E33</f>
        <v>3.4829320000000008</v>
      </c>
    </row>
    <row r="34" spans="1:17" ht="40.5" customHeight="1">
      <c r="A34" s="1219"/>
      <c r="B34" s="1221"/>
      <c r="C34" s="1224"/>
      <c r="D34" s="62" t="s">
        <v>87</v>
      </c>
      <c r="E34" s="64">
        <v>2.41</v>
      </c>
      <c r="F34" s="66" t="s">
        <v>167</v>
      </c>
      <c r="G34" s="1227"/>
    </row>
    <row r="35" spans="1:17">
      <c r="A35" s="1218">
        <v>3</v>
      </c>
      <c r="B35" s="1220" t="s">
        <v>156</v>
      </c>
      <c r="C35" s="1222" t="s">
        <v>157</v>
      </c>
      <c r="D35" s="67" t="s">
        <v>158</v>
      </c>
      <c r="E35" s="68">
        <f>E36*F26</f>
        <v>98.273600000000016</v>
      </c>
      <c r="F35" s="69">
        <f>F33</f>
        <v>0.02</v>
      </c>
      <c r="G35" s="1214">
        <f>E35*F35</f>
        <v>1.9654720000000003</v>
      </c>
    </row>
    <row r="36" spans="1:17" ht="27.75" customHeight="1">
      <c r="A36" s="1219"/>
      <c r="B36" s="1221"/>
      <c r="C36" s="1224"/>
      <c r="D36" s="67" t="s">
        <v>0</v>
      </c>
      <c r="E36" s="69">
        <v>1.36</v>
      </c>
      <c r="F36" s="70"/>
      <c r="G36" s="1215"/>
    </row>
    <row r="37" spans="1:17" ht="25.5">
      <c r="A37" s="1228">
        <v>4</v>
      </c>
      <c r="B37" s="73" t="s">
        <v>159</v>
      </c>
      <c r="C37" s="1229" t="s">
        <v>430</v>
      </c>
      <c r="D37" s="1228" t="s">
        <v>160</v>
      </c>
      <c r="E37" s="1231">
        <f>ресурсы!D15</f>
        <v>485.24</v>
      </c>
      <c r="F37" s="1232">
        <f>F35*4/5</f>
        <v>1.6E-2</v>
      </c>
      <c r="G37" s="1234">
        <f>E37*F37</f>
        <v>7.7638400000000001</v>
      </c>
    </row>
    <row r="38" spans="1:17" ht="25.5">
      <c r="A38" s="1219"/>
      <c r="B38" s="74" t="s">
        <v>168</v>
      </c>
      <c r="C38" s="1230"/>
      <c r="D38" s="1219"/>
      <c r="E38" s="1226"/>
      <c r="F38" s="1233"/>
      <c r="G38" s="1217"/>
    </row>
    <row r="39" spans="1:17">
      <c r="A39" s="10"/>
      <c r="B39" s="75" t="s">
        <v>169</v>
      </c>
      <c r="C39" s="56"/>
      <c r="D39" s="56"/>
      <c r="E39" s="56"/>
      <c r="F39" s="56"/>
      <c r="G39" s="71">
        <f>SUM(G31:G38)</f>
        <v>34.890244000000003</v>
      </c>
    </row>
    <row r="40" spans="1:17" ht="25.5">
      <c r="A40" s="10"/>
      <c r="B40" s="72" t="s">
        <v>163</v>
      </c>
      <c r="C40" s="71">
        <v>1.2</v>
      </c>
      <c r="D40" s="71"/>
      <c r="E40" s="71"/>
      <c r="F40" s="71"/>
      <c r="G40" s="71">
        <f>G39*C40</f>
        <v>41.868292799999999</v>
      </c>
    </row>
    <row r="41" spans="1:17" ht="25.5">
      <c r="A41" s="12"/>
      <c r="B41" s="72" t="s">
        <v>164</v>
      </c>
      <c r="C41" s="71">
        <v>1.08</v>
      </c>
      <c r="D41" s="71"/>
      <c r="E41" s="71"/>
      <c r="F41" s="71"/>
      <c r="G41" s="71">
        <f>G40*C41</f>
        <v>45.217756223999999</v>
      </c>
    </row>
    <row r="42" spans="1:17">
      <c r="A42" s="56"/>
      <c r="B42" s="50" t="s">
        <v>132</v>
      </c>
      <c r="C42" s="56">
        <v>1.18</v>
      </c>
      <c r="D42" s="56"/>
      <c r="E42" s="54"/>
      <c r="F42" s="54"/>
      <c r="G42" s="55">
        <f>G41*C42</f>
        <v>53.356952344319993</v>
      </c>
      <c r="I42" s="52">
        <f>G42*4.5</f>
        <v>240.10628554943997</v>
      </c>
    </row>
    <row r="47" spans="1:17" s="490" customFormat="1" ht="15">
      <c r="A47" s="1195" t="s">
        <v>781</v>
      </c>
      <c r="B47" s="1196"/>
      <c r="C47" s="1196"/>
      <c r="D47" s="1196"/>
      <c r="E47" s="1196"/>
      <c r="F47" s="1196"/>
      <c r="G47" s="1196"/>
      <c r="H47" s="1196"/>
      <c r="I47" s="1196"/>
      <c r="J47" s="1196"/>
      <c r="K47" s="1196"/>
      <c r="L47" s="1196"/>
      <c r="M47" s="1196"/>
      <c r="N47" s="1196"/>
      <c r="O47" s="1196"/>
      <c r="P47" s="1196"/>
      <c r="Q47" s="1196"/>
    </row>
    <row r="48" spans="1:17" ht="15">
      <c r="B48" s="192"/>
      <c r="C48" s="192"/>
      <c r="D48" s="194"/>
      <c r="E48" s="194"/>
      <c r="F48" s="194"/>
    </row>
    <row r="49" spans="2:6" ht="15">
      <c r="B49" s="192"/>
      <c r="C49" s="192"/>
      <c r="D49" s="194"/>
      <c r="E49" s="194"/>
      <c r="F49" s="194"/>
    </row>
    <row r="50" spans="2:6" ht="15">
      <c r="B50" s="192" t="s">
        <v>545</v>
      </c>
      <c r="C50" s="192"/>
      <c r="D50" s="1177"/>
      <c r="E50" s="1177"/>
      <c r="F50" s="1177"/>
    </row>
  </sheetData>
  <mergeCells count="52">
    <mergeCell ref="A35:A36"/>
    <mergeCell ref="B35:B36"/>
    <mergeCell ref="C35:C36"/>
    <mergeCell ref="G35:G36"/>
    <mergeCell ref="A37:A38"/>
    <mergeCell ref="C37:C38"/>
    <mergeCell ref="D37:D38"/>
    <mergeCell ref="E37:E38"/>
    <mergeCell ref="F37:F38"/>
    <mergeCell ref="G37:G38"/>
    <mergeCell ref="A31:A32"/>
    <mergeCell ref="B31:B32"/>
    <mergeCell ref="C31:C32"/>
    <mergeCell ref="G31:G32"/>
    <mergeCell ref="A33:A34"/>
    <mergeCell ref="B33:B34"/>
    <mergeCell ref="C33:C34"/>
    <mergeCell ref="G33:G34"/>
    <mergeCell ref="A29:A30"/>
    <mergeCell ref="B29:B30"/>
    <mergeCell ref="C29:C30"/>
    <mergeCell ref="G29:G30"/>
    <mergeCell ref="A13:A14"/>
    <mergeCell ref="B13:B14"/>
    <mergeCell ref="C13:C14"/>
    <mergeCell ref="G13:G14"/>
    <mergeCell ref="A15:A16"/>
    <mergeCell ref="C15:C16"/>
    <mergeCell ref="D15:D16"/>
    <mergeCell ref="E15:E16"/>
    <mergeCell ref="C11:C12"/>
    <mergeCell ref="G11:G12"/>
    <mergeCell ref="A9:A10"/>
    <mergeCell ref="B9:B10"/>
    <mergeCell ref="C9:C10"/>
    <mergeCell ref="G9:G10"/>
    <mergeCell ref="D50:F50"/>
    <mergeCell ref="B1:G1"/>
    <mergeCell ref="B2:G2"/>
    <mergeCell ref="C3:D3"/>
    <mergeCell ref="F15:F16"/>
    <mergeCell ref="G15:G16"/>
    <mergeCell ref="B23:G23"/>
    <mergeCell ref="B24:G24"/>
    <mergeCell ref="C25:D25"/>
    <mergeCell ref="A47:Q47"/>
    <mergeCell ref="A7:A8"/>
    <mergeCell ref="B7:B8"/>
    <mergeCell ref="C7:C8"/>
    <mergeCell ref="G7:G8"/>
    <mergeCell ref="A11:A12"/>
    <mergeCell ref="B11:B12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26"/>
  <sheetViews>
    <sheetView topLeftCell="A19" workbookViewId="0">
      <selection activeCell="J48" sqref="J48"/>
    </sheetView>
  </sheetViews>
  <sheetFormatPr defaultRowHeight="12.75"/>
  <cols>
    <col min="1" max="1" width="4.140625" style="33" customWidth="1"/>
    <col min="2" max="2" width="18.140625" style="33" customWidth="1"/>
    <col min="3" max="3" width="29.42578125" style="33" customWidth="1"/>
    <col min="4" max="4" width="9.140625" style="33"/>
    <col min="5" max="5" width="6.5703125" style="33" customWidth="1"/>
    <col min="6" max="6" width="7" style="33" customWidth="1"/>
    <col min="7" max="7" width="6.42578125" style="33" customWidth="1"/>
    <col min="8" max="8" width="5.85546875" style="33" customWidth="1"/>
    <col min="9" max="9" width="9.140625" style="33"/>
    <col min="10" max="10" width="7.5703125" style="33" customWidth="1"/>
    <col min="11" max="11" width="7.28515625" style="33" customWidth="1"/>
    <col min="12" max="12" width="6.7109375" style="33" customWidth="1"/>
    <col min="13" max="13" width="8.28515625" style="33" customWidth="1"/>
    <col min="14" max="14" width="6.7109375" style="33" customWidth="1"/>
    <col min="15" max="15" width="7.140625" style="33" customWidth="1"/>
    <col min="16" max="16" width="8.28515625" style="33" customWidth="1"/>
    <col min="17" max="17" width="7.85546875" style="33" customWidth="1"/>
    <col min="18" max="16384" width="9.140625" style="33"/>
  </cols>
  <sheetData>
    <row r="1" spans="1:17">
      <c r="A1" s="685"/>
      <c r="B1" s="688"/>
      <c r="C1" s="683"/>
      <c r="D1" s="684"/>
      <c r="E1" s="687"/>
      <c r="F1" s="686"/>
      <c r="G1" s="686"/>
      <c r="H1" s="686"/>
      <c r="I1" s="686"/>
      <c r="J1" s="686"/>
      <c r="K1" s="686"/>
      <c r="L1" s="686"/>
      <c r="M1" s="686"/>
      <c r="N1" s="686"/>
      <c r="O1" s="686"/>
      <c r="P1" s="686"/>
      <c r="Q1" s="686"/>
    </row>
    <row r="2" spans="1:17">
      <c r="A2" s="685"/>
      <c r="B2" s="688"/>
      <c r="C2" s="683"/>
      <c r="D2" s="684"/>
      <c r="E2" s="687"/>
      <c r="F2" s="686"/>
      <c r="G2" s="686"/>
      <c r="H2" s="694" t="s">
        <v>650</v>
      </c>
      <c r="I2" s="694"/>
      <c r="J2" s="686"/>
      <c r="K2" s="686"/>
      <c r="L2" s="686"/>
      <c r="M2" s="686"/>
      <c r="N2" s="686"/>
      <c r="O2" s="686"/>
      <c r="P2" s="686"/>
      <c r="Q2" s="686"/>
    </row>
    <row r="3" spans="1:17">
      <c r="A3" s="685"/>
      <c r="B3" s="688"/>
      <c r="C3" s="683"/>
      <c r="D3" s="684"/>
      <c r="E3" s="687"/>
      <c r="F3" s="686"/>
      <c r="G3" s="686"/>
      <c r="H3" s="685" t="s">
        <v>651</v>
      </c>
      <c r="I3" s="685"/>
      <c r="J3" s="686"/>
      <c r="K3" s="686"/>
      <c r="L3" s="686"/>
      <c r="M3" s="686"/>
      <c r="N3" s="686"/>
      <c r="O3" s="686"/>
      <c r="P3" s="686"/>
      <c r="Q3" s="686"/>
    </row>
    <row r="4" spans="1:17">
      <c r="A4" s="685"/>
      <c r="B4" s="688"/>
      <c r="C4" s="683"/>
      <c r="D4" s="684"/>
      <c r="E4" s="687"/>
      <c r="F4" s="686"/>
      <c r="G4" s="686"/>
      <c r="H4" s="686"/>
      <c r="I4" s="686"/>
      <c r="J4" s="686"/>
      <c r="K4" s="686"/>
      <c r="L4" s="686"/>
      <c r="M4" s="686"/>
      <c r="N4" s="686"/>
      <c r="O4" s="686"/>
      <c r="P4" s="686"/>
      <c r="Q4" s="686"/>
    </row>
    <row r="5" spans="1:17">
      <c r="A5" s="685"/>
      <c r="B5" s="688"/>
      <c r="C5" s="695" t="s">
        <v>652</v>
      </c>
      <c r="D5" s="696" t="s">
        <v>846</v>
      </c>
      <c r="E5" s="697"/>
      <c r="F5" s="686"/>
      <c r="G5" s="686"/>
      <c r="H5" s="685"/>
      <c r="I5" s="686"/>
      <c r="J5" s="686"/>
      <c r="K5" s="690"/>
      <c r="L5" s="690"/>
      <c r="M5" s="686"/>
      <c r="N5" s="686"/>
      <c r="O5" s="686"/>
      <c r="P5" s="686"/>
      <c r="Q5" s="686"/>
    </row>
    <row r="6" spans="1:17">
      <c r="A6" s="685"/>
      <c r="B6" s="688"/>
      <c r="C6" s="683"/>
      <c r="D6" s="684"/>
      <c r="E6" s="698"/>
      <c r="F6" s="691"/>
      <c r="G6" s="691"/>
      <c r="H6" s="692" t="s">
        <v>407</v>
      </c>
      <c r="I6" s="692"/>
      <c r="J6" s="691"/>
      <c r="K6" s="693"/>
      <c r="L6" s="686"/>
      <c r="M6" s="686"/>
      <c r="N6" s="686"/>
      <c r="O6" s="686"/>
      <c r="P6" s="686"/>
      <c r="Q6" s="686"/>
    </row>
    <row r="7" spans="1:17" ht="3.75" customHeight="1">
      <c r="A7" s="699"/>
      <c r="B7" s="700"/>
      <c r="C7" s="683"/>
      <c r="D7" s="684"/>
      <c r="E7" s="687"/>
      <c r="F7" s="686"/>
      <c r="G7" s="686"/>
      <c r="H7" s="686"/>
      <c r="I7" s="686"/>
      <c r="J7" s="686"/>
      <c r="K7" s="686"/>
      <c r="L7" s="686"/>
      <c r="M7" s="686"/>
      <c r="N7" s="686"/>
      <c r="O7" s="686"/>
      <c r="P7" s="686"/>
      <c r="Q7" s="686"/>
    </row>
    <row r="8" spans="1:17">
      <c r="A8" s="685"/>
      <c r="B8" s="688"/>
      <c r="C8" s="683"/>
      <c r="D8" s="697" t="s">
        <v>653</v>
      </c>
      <c r="E8" s="685"/>
      <c r="F8" s="686"/>
      <c r="G8" s="686"/>
      <c r="H8" s="686"/>
      <c r="I8" s="697"/>
      <c r="J8" s="697"/>
      <c r="K8" s="686"/>
      <c r="L8" s="686"/>
      <c r="M8" s="686"/>
      <c r="N8" s="686"/>
      <c r="O8" s="686"/>
      <c r="P8" s="686"/>
      <c r="Q8" s="686"/>
    </row>
    <row r="9" spans="1:17">
      <c r="A9" s="685"/>
      <c r="B9" s="688"/>
      <c r="C9" s="683"/>
      <c r="D9" s="697" t="s">
        <v>556</v>
      </c>
      <c r="E9" s="685"/>
      <c r="F9" s="686"/>
      <c r="G9" s="686"/>
      <c r="H9" s="686"/>
      <c r="I9" s="697"/>
      <c r="J9" s="1247" t="s">
        <v>847</v>
      </c>
      <c r="K9" s="1248"/>
      <c r="L9" s="689" t="s">
        <v>848</v>
      </c>
      <c r="M9" s="686"/>
      <c r="N9" s="686"/>
      <c r="O9" s="686"/>
      <c r="P9" s="686"/>
      <c r="Q9" s="686"/>
    </row>
    <row r="10" spans="1:17">
      <c r="A10" s="685"/>
      <c r="B10" s="688"/>
      <c r="C10" s="683"/>
      <c r="D10" s="697" t="s">
        <v>654</v>
      </c>
      <c r="E10" s="685"/>
      <c r="F10" s="686"/>
      <c r="G10" s="686"/>
      <c r="H10" s="686"/>
      <c r="I10" s="697"/>
      <c r="J10" s="1247" t="s">
        <v>849</v>
      </c>
      <c r="K10" s="1248"/>
      <c r="L10" s="689" t="s">
        <v>848</v>
      </c>
      <c r="M10" s="686"/>
      <c r="N10" s="686"/>
      <c r="O10" s="686"/>
      <c r="P10" s="686"/>
      <c r="Q10" s="686"/>
    </row>
    <row r="11" spans="1:17">
      <c r="A11" s="685"/>
      <c r="B11" s="688"/>
      <c r="C11" s="683"/>
      <c r="D11" s="697" t="s">
        <v>655</v>
      </c>
      <c r="E11" s="685"/>
      <c r="F11" s="686"/>
      <c r="G11" s="686"/>
      <c r="H11" s="686"/>
      <c r="I11" s="697"/>
      <c r="J11" s="1247" t="s">
        <v>850</v>
      </c>
      <c r="K11" s="1248"/>
      <c r="L11" s="689" t="s">
        <v>657</v>
      </c>
      <c r="M11" s="686"/>
      <c r="N11" s="686"/>
      <c r="O11" s="686"/>
      <c r="P11" s="686"/>
      <c r="Q11" s="686"/>
    </row>
    <row r="12" spans="1:17">
      <c r="A12" s="685"/>
      <c r="B12" s="688"/>
      <c r="C12" s="683"/>
      <c r="D12" s="706" t="s">
        <v>682</v>
      </c>
      <c r="E12" s="685"/>
      <c r="F12" s="686"/>
      <c r="G12" s="686"/>
      <c r="H12" s="686"/>
      <c r="I12" s="686"/>
      <c r="J12" s="686"/>
      <c r="K12" s="686"/>
      <c r="L12" s="686"/>
      <c r="M12" s="686"/>
      <c r="N12" s="686"/>
      <c r="O12" s="686"/>
      <c r="P12" s="686"/>
      <c r="Q12" s="686"/>
    </row>
    <row r="13" spans="1:17">
      <c r="A13" s="685"/>
      <c r="B13" s="688"/>
      <c r="C13" s="683"/>
      <c r="D13" s="684"/>
      <c r="E13" s="685"/>
      <c r="F13" s="686"/>
      <c r="G13" s="686"/>
      <c r="H13" s="686"/>
      <c r="I13" s="686"/>
      <c r="J13" s="686"/>
      <c r="K13" s="686"/>
      <c r="L13" s="686"/>
      <c r="M13" s="686"/>
      <c r="N13" s="686"/>
      <c r="O13" s="686"/>
      <c r="P13" s="686"/>
      <c r="Q13" s="686"/>
    </row>
    <row r="15" spans="1:17">
      <c r="A15" s="1237" t="s">
        <v>408</v>
      </c>
      <c r="B15" s="1240" t="s">
        <v>851</v>
      </c>
      <c r="C15" s="1237" t="s">
        <v>409</v>
      </c>
      <c r="D15" s="1237" t="s">
        <v>181</v>
      </c>
      <c r="E15" s="1237" t="s">
        <v>410</v>
      </c>
      <c r="F15" s="1237" t="s">
        <v>411</v>
      </c>
      <c r="G15" s="1238"/>
      <c r="H15" s="1238"/>
      <c r="I15" s="1238"/>
      <c r="J15" s="1237" t="s">
        <v>412</v>
      </c>
      <c r="K15" s="1238"/>
      <c r="L15" s="1238"/>
      <c r="M15" s="1238"/>
      <c r="N15" s="1237" t="s">
        <v>658</v>
      </c>
      <c r="O15" s="1237" t="s">
        <v>659</v>
      </c>
      <c r="P15" s="1237" t="s">
        <v>660</v>
      </c>
      <c r="Q15" s="1237" t="s">
        <v>661</v>
      </c>
    </row>
    <row r="16" spans="1:17">
      <c r="A16" s="1238"/>
      <c r="B16" s="1241"/>
      <c r="C16" s="1239"/>
      <c r="D16" s="1237"/>
      <c r="E16" s="1238"/>
      <c r="F16" s="1237" t="s">
        <v>170</v>
      </c>
      <c r="G16" s="1237" t="s">
        <v>171</v>
      </c>
      <c r="H16" s="1238"/>
      <c r="I16" s="1238"/>
      <c r="J16" s="1237" t="s">
        <v>170</v>
      </c>
      <c r="K16" s="1237" t="s">
        <v>171</v>
      </c>
      <c r="L16" s="1238"/>
      <c r="M16" s="1238"/>
      <c r="N16" s="1237"/>
      <c r="O16" s="1237"/>
      <c r="P16" s="1237"/>
      <c r="Q16" s="1237"/>
    </row>
    <row r="17" spans="1:17" ht="24">
      <c r="A17" s="1238"/>
      <c r="B17" s="1241"/>
      <c r="C17" s="1239"/>
      <c r="D17" s="1237"/>
      <c r="E17" s="1238"/>
      <c r="F17" s="1238"/>
      <c r="G17" s="701" t="s">
        <v>413</v>
      </c>
      <c r="H17" s="701" t="s">
        <v>662</v>
      </c>
      <c r="I17" s="701" t="s">
        <v>414</v>
      </c>
      <c r="J17" s="1238"/>
      <c r="K17" s="701" t="s">
        <v>413</v>
      </c>
      <c r="L17" s="701" t="s">
        <v>662</v>
      </c>
      <c r="M17" s="701" t="s">
        <v>414</v>
      </c>
      <c r="N17" s="1237"/>
      <c r="O17" s="1237"/>
      <c r="P17" s="1237"/>
      <c r="Q17" s="1237"/>
    </row>
    <row r="18" spans="1:17" ht="14.25" customHeight="1">
      <c r="A18" s="704">
        <v>1</v>
      </c>
      <c r="B18" s="703">
        <v>2</v>
      </c>
      <c r="C18" s="701">
        <v>3</v>
      </c>
      <c r="D18" s="701">
        <v>4</v>
      </c>
      <c r="E18" s="704">
        <v>5</v>
      </c>
      <c r="F18" s="702">
        <v>6</v>
      </c>
      <c r="G18" s="702">
        <v>7</v>
      </c>
      <c r="H18" s="702">
        <v>8</v>
      </c>
      <c r="I18" s="702">
        <v>9</v>
      </c>
      <c r="J18" s="702">
        <v>10</v>
      </c>
      <c r="K18" s="702">
        <v>11</v>
      </c>
      <c r="L18" s="702">
        <v>12</v>
      </c>
      <c r="M18" s="702">
        <v>13</v>
      </c>
      <c r="N18" s="702">
        <v>14</v>
      </c>
      <c r="O18" s="702">
        <v>15</v>
      </c>
      <c r="P18" s="702">
        <v>16</v>
      </c>
      <c r="Q18" s="702">
        <v>17</v>
      </c>
    </row>
    <row r="19" spans="1:17">
      <c r="A19" s="1242" t="s">
        <v>663</v>
      </c>
      <c r="B19" s="1236"/>
      <c r="C19" s="1236"/>
      <c r="D19" s="1236"/>
      <c r="E19" s="1236"/>
      <c r="F19" s="1236"/>
      <c r="G19" s="1236"/>
      <c r="H19" s="1236"/>
      <c r="I19" s="1236"/>
      <c r="J19" s="1236"/>
      <c r="K19" s="1236"/>
      <c r="L19" s="1236"/>
      <c r="M19" s="1236"/>
      <c r="N19" s="1236"/>
      <c r="O19" s="1236"/>
      <c r="P19" s="1236"/>
      <c r="Q19" s="1236"/>
    </row>
    <row r="20" spans="1:17" ht="62.25" customHeight="1">
      <c r="A20" s="704">
        <v>1</v>
      </c>
      <c r="B20" s="707" t="s">
        <v>852</v>
      </c>
      <c r="C20" s="708" t="s">
        <v>557</v>
      </c>
      <c r="D20" s="709" t="s">
        <v>558</v>
      </c>
      <c r="E20" s="710">
        <v>1</v>
      </c>
      <c r="F20" s="711">
        <v>16.75</v>
      </c>
      <c r="G20" s="711">
        <v>5.72</v>
      </c>
      <c r="H20" s="711">
        <v>11.03</v>
      </c>
      <c r="I20" s="711"/>
      <c r="J20" s="711">
        <v>16.75</v>
      </c>
      <c r="K20" s="711">
        <v>5.72</v>
      </c>
      <c r="L20" s="711">
        <v>11.03</v>
      </c>
      <c r="M20" s="711"/>
      <c r="N20" s="711">
        <v>0.67</v>
      </c>
      <c r="O20" s="711">
        <v>0.67</v>
      </c>
      <c r="P20" s="711"/>
      <c r="Q20" s="711"/>
    </row>
    <row r="21" spans="1:17" ht="48" customHeight="1">
      <c r="A21" s="704">
        <v>2</v>
      </c>
      <c r="B21" s="707" t="s">
        <v>853</v>
      </c>
      <c r="C21" s="708" t="s">
        <v>745</v>
      </c>
      <c r="D21" s="709" t="s">
        <v>746</v>
      </c>
      <c r="E21" s="710">
        <v>0.04</v>
      </c>
      <c r="F21" s="711">
        <v>17.95</v>
      </c>
      <c r="G21" s="711"/>
      <c r="H21" s="711">
        <v>17.95</v>
      </c>
      <c r="I21" s="711"/>
      <c r="J21" s="711">
        <v>0.72</v>
      </c>
      <c r="K21" s="711"/>
      <c r="L21" s="711">
        <v>0.72</v>
      </c>
      <c r="M21" s="711"/>
      <c r="N21" s="711"/>
      <c r="O21" s="711"/>
      <c r="P21" s="711"/>
      <c r="Q21" s="711"/>
    </row>
    <row r="22" spans="1:17" ht="48" customHeight="1">
      <c r="A22" s="704">
        <v>3</v>
      </c>
      <c r="B22" s="707" t="s">
        <v>854</v>
      </c>
      <c r="C22" s="708" t="s">
        <v>747</v>
      </c>
      <c r="D22" s="709" t="s">
        <v>746</v>
      </c>
      <c r="E22" s="710">
        <v>0.04</v>
      </c>
      <c r="F22" s="711">
        <v>20.079999999999998</v>
      </c>
      <c r="G22" s="711"/>
      <c r="H22" s="711">
        <v>20.079999999999998</v>
      </c>
      <c r="I22" s="711"/>
      <c r="J22" s="711">
        <v>0.8</v>
      </c>
      <c r="K22" s="711"/>
      <c r="L22" s="711">
        <v>0.8</v>
      </c>
      <c r="M22" s="711"/>
      <c r="N22" s="711"/>
      <c r="O22" s="711"/>
      <c r="P22" s="711"/>
      <c r="Q22" s="711"/>
    </row>
    <row r="23" spans="1:17">
      <c r="A23" s="1249" t="s">
        <v>749</v>
      </c>
      <c r="B23" s="1250"/>
      <c r="C23" s="1250"/>
      <c r="D23" s="1250"/>
      <c r="E23" s="1250"/>
      <c r="F23" s="1250"/>
      <c r="G23" s="1250"/>
      <c r="H23" s="1250"/>
      <c r="I23" s="1250"/>
      <c r="J23" s="1250"/>
      <c r="K23" s="1250"/>
      <c r="L23" s="1250"/>
      <c r="M23" s="1250"/>
      <c r="N23" s="1250"/>
      <c r="O23" s="1250"/>
      <c r="P23" s="1250"/>
      <c r="Q23" s="1250"/>
    </row>
    <row r="24" spans="1:17" ht="12.75" customHeight="1">
      <c r="A24" s="1235" t="s">
        <v>417</v>
      </c>
      <c r="B24" s="1236"/>
      <c r="C24" s="1236"/>
      <c r="D24" s="1236"/>
      <c r="E24" s="1236"/>
      <c r="F24" s="1236"/>
      <c r="G24" s="1236"/>
      <c r="H24" s="1236"/>
      <c r="I24" s="1236"/>
      <c r="J24" s="712">
        <v>18.27</v>
      </c>
      <c r="K24" s="712">
        <v>5.72</v>
      </c>
      <c r="L24" s="712">
        <v>12.55</v>
      </c>
      <c r="M24" s="711"/>
      <c r="N24" s="711"/>
      <c r="O24" s="712">
        <v>0.67</v>
      </c>
      <c r="P24" s="711"/>
      <c r="Q24" s="711"/>
    </row>
    <row r="25" spans="1:17">
      <c r="A25" s="1235" t="s">
        <v>418</v>
      </c>
      <c r="B25" s="1236"/>
      <c r="C25" s="1236"/>
      <c r="D25" s="1236"/>
      <c r="E25" s="1236"/>
      <c r="F25" s="1236"/>
      <c r="G25" s="1236"/>
      <c r="H25" s="1236"/>
      <c r="I25" s="1236"/>
      <c r="J25" s="712">
        <v>152.09</v>
      </c>
      <c r="K25" s="712">
        <v>76.709999999999994</v>
      </c>
      <c r="L25" s="712">
        <v>75.38</v>
      </c>
      <c r="M25" s="711"/>
      <c r="N25" s="711"/>
      <c r="O25" s="712">
        <v>0.67</v>
      </c>
      <c r="P25" s="711"/>
      <c r="Q25" s="711"/>
    </row>
    <row r="26" spans="1:17">
      <c r="A26" s="1235" t="s">
        <v>683</v>
      </c>
      <c r="B26" s="1236"/>
      <c r="C26" s="1236"/>
      <c r="D26" s="1236"/>
      <c r="E26" s="1236"/>
      <c r="F26" s="1236"/>
      <c r="G26" s="1236"/>
      <c r="H26" s="1236"/>
      <c r="I26" s="1236"/>
      <c r="J26" s="711"/>
      <c r="K26" s="711"/>
      <c r="L26" s="711"/>
      <c r="M26" s="711"/>
      <c r="N26" s="711"/>
      <c r="O26" s="711"/>
      <c r="P26" s="711"/>
      <c r="Q26" s="711"/>
    </row>
    <row r="27" spans="1:17">
      <c r="A27" s="1235" t="s">
        <v>855</v>
      </c>
      <c r="B27" s="1236"/>
      <c r="C27" s="1236"/>
      <c r="D27" s="1236"/>
      <c r="E27" s="1236"/>
      <c r="F27" s="1236"/>
      <c r="G27" s="1236"/>
      <c r="H27" s="1236"/>
      <c r="I27" s="1236"/>
      <c r="J27" s="712">
        <v>125.04</v>
      </c>
      <c r="K27" s="712">
        <v>70.989999999999995</v>
      </c>
      <c r="L27" s="712">
        <v>54.05</v>
      </c>
      <c r="M27" s="711"/>
      <c r="N27" s="711"/>
      <c r="O27" s="711"/>
      <c r="P27" s="711"/>
      <c r="Q27" s="711"/>
    </row>
    <row r="28" spans="1:17" ht="12.75" customHeight="1">
      <c r="A28" s="1235" t="s">
        <v>856</v>
      </c>
      <c r="B28" s="1236"/>
      <c r="C28" s="1236"/>
      <c r="D28" s="1236"/>
      <c r="E28" s="1236"/>
      <c r="F28" s="1236"/>
      <c r="G28" s="1236"/>
      <c r="H28" s="1236"/>
      <c r="I28" s="1236"/>
      <c r="J28" s="712">
        <v>4.93</v>
      </c>
      <c r="K28" s="711"/>
      <c r="L28" s="712">
        <v>4.93</v>
      </c>
      <c r="M28" s="711"/>
      <c r="N28" s="711"/>
      <c r="O28" s="711"/>
      <c r="P28" s="711"/>
      <c r="Q28" s="711"/>
    </row>
    <row r="29" spans="1:17" ht="12.75" customHeight="1">
      <c r="A29" s="1235" t="s">
        <v>857</v>
      </c>
      <c r="B29" s="1236"/>
      <c r="C29" s="1236"/>
      <c r="D29" s="1236"/>
      <c r="E29" s="1236"/>
      <c r="F29" s="1236"/>
      <c r="G29" s="1236"/>
      <c r="H29" s="1236"/>
      <c r="I29" s="1236"/>
      <c r="J29" s="712">
        <v>3.85</v>
      </c>
      <c r="K29" s="711"/>
      <c r="L29" s="712">
        <v>3.85</v>
      </c>
      <c r="M29" s="711"/>
      <c r="N29" s="711"/>
      <c r="O29" s="711"/>
      <c r="P29" s="711"/>
      <c r="Q29" s="711"/>
    </row>
    <row r="30" spans="1:17" ht="12.75" customHeight="1">
      <c r="A30" s="1235" t="s">
        <v>172</v>
      </c>
      <c r="B30" s="1236"/>
      <c r="C30" s="1236"/>
      <c r="D30" s="1236"/>
      <c r="E30" s="1236"/>
      <c r="F30" s="1236"/>
      <c r="G30" s="1236"/>
      <c r="H30" s="1236"/>
      <c r="I30" s="1236"/>
      <c r="J30" s="712">
        <v>75.180000000000007</v>
      </c>
      <c r="K30" s="711"/>
      <c r="L30" s="711"/>
      <c r="M30" s="711"/>
      <c r="N30" s="711"/>
      <c r="O30" s="711"/>
      <c r="P30" s="711"/>
      <c r="Q30" s="711"/>
    </row>
    <row r="31" spans="1:17">
      <c r="A31" s="1235" t="s">
        <v>683</v>
      </c>
      <c r="B31" s="1236"/>
      <c r="C31" s="1236"/>
      <c r="D31" s="1236"/>
      <c r="E31" s="1236"/>
      <c r="F31" s="1236"/>
      <c r="G31" s="1236"/>
      <c r="H31" s="1236"/>
      <c r="I31" s="1236"/>
      <c r="J31" s="711"/>
      <c r="K31" s="711"/>
      <c r="L31" s="711"/>
      <c r="M31" s="711"/>
      <c r="N31" s="711"/>
      <c r="O31" s="711"/>
      <c r="P31" s="711"/>
      <c r="Q31" s="711"/>
    </row>
    <row r="32" spans="1:17">
      <c r="A32" s="1235" t="s">
        <v>858</v>
      </c>
      <c r="B32" s="1236"/>
      <c r="C32" s="1236"/>
      <c r="D32" s="1236"/>
      <c r="E32" s="1236"/>
      <c r="F32" s="1236"/>
      <c r="G32" s="1236"/>
      <c r="H32" s="1236"/>
      <c r="I32" s="1236"/>
      <c r="J32" s="712">
        <v>75.180000000000007</v>
      </c>
      <c r="K32" s="711"/>
      <c r="L32" s="711"/>
      <c r="M32" s="711"/>
      <c r="N32" s="711"/>
      <c r="O32" s="711"/>
      <c r="P32" s="711"/>
      <c r="Q32" s="711"/>
    </row>
    <row r="33" spans="1:17" ht="12.75" customHeight="1">
      <c r="A33" s="1235" t="s">
        <v>173</v>
      </c>
      <c r="B33" s="1236"/>
      <c r="C33" s="1236"/>
      <c r="D33" s="1236"/>
      <c r="E33" s="1236"/>
      <c r="F33" s="1236"/>
      <c r="G33" s="1236"/>
      <c r="H33" s="1236"/>
      <c r="I33" s="1236"/>
      <c r="J33" s="712">
        <v>55.23</v>
      </c>
      <c r="K33" s="711"/>
      <c r="L33" s="711"/>
      <c r="M33" s="711"/>
      <c r="N33" s="711"/>
      <c r="O33" s="711"/>
      <c r="P33" s="711"/>
      <c r="Q33" s="711"/>
    </row>
    <row r="34" spans="1:17" ht="12.75" customHeight="1">
      <c r="A34" s="1235" t="s">
        <v>683</v>
      </c>
      <c r="B34" s="1236"/>
      <c r="C34" s="1236"/>
      <c r="D34" s="1236"/>
      <c r="E34" s="1236"/>
      <c r="F34" s="1236"/>
      <c r="G34" s="1236"/>
      <c r="H34" s="1236"/>
      <c r="I34" s="1236"/>
      <c r="J34" s="711"/>
      <c r="K34" s="711"/>
      <c r="L34" s="711"/>
      <c r="M34" s="711"/>
      <c r="N34" s="711"/>
      <c r="O34" s="711"/>
      <c r="P34" s="711"/>
      <c r="Q34" s="711"/>
    </row>
    <row r="35" spans="1:17">
      <c r="A35" s="1235" t="s">
        <v>859</v>
      </c>
      <c r="B35" s="1236"/>
      <c r="C35" s="1236"/>
      <c r="D35" s="1236"/>
      <c r="E35" s="1236"/>
      <c r="F35" s="1236"/>
      <c r="G35" s="1236"/>
      <c r="H35" s="1236"/>
      <c r="I35" s="1236"/>
      <c r="J35" s="712">
        <v>55.23</v>
      </c>
      <c r="K35" s="711"/>
      <c r="L35" s="711"/>
      <c r="M35" s="711"/>
      <c r="N35" s="711"/>
      <c r="O35" s="711"/>
      <c r="P35" s="711"/>
      <c r="Q35" s="711"/>
    </row>
    <row r="36" spans="1:17" ht="12.75" customHeight="1">
      <c r="A36" s="1246" t="s">
        <v>419</v>
      </c>
      <c r="B36" s="1236"/>
      <c r="C36" s="1236"/>
      <c r="D36" s="1236"/>
      <c r="E36" s="1236"/>
      <c r="F36" s="1236"/>
      <c r="G36" s="1236"/>
      <c r="H36" s="1236"/>
      <c r="I36" s="1236"/>
      <c r="J36" s="711"/>
      <c r="K36" s="711"/>
      <c r="L36" s="711"/>
      <c r="M36" s="711"/>
      <c r="N36" s="711"/>
      <c r="O36" s="711"/>
      <c r="P36" s="711"/>
      <c r="Q36" s="711"/>
    </row>
    <row r="37" spans="1:17" ht="12.75" customHeight="1">
      <c r="A37" s="1235" t="s">
        <v>860</v>
      </c>
      <c r="B37" s="1236"/>
      <c r="C37" s="1236"/>
      <c r="D37" s="1236"/>
      <c r="E37" s="1236"/>
      <c r="F37" s="1236"/>
      <c r="G37" s="1236"/>
      <c r="H37" s="1236"/>
      <c r="I37" s="1236"/>
      <c r="J37" s="712">
        <v>272.2</v>
      </c>
      <c r="K37" s="711"/>
      <c r="L37" s="711"/>
      <c r="M37" s="711"/>
      <c r="N37" s="711"/>
      <c r="O37" s="712">
        <v>0.67</v>
      </c>
      <c r="P37" s="711"/>
      <c r="Q37" s="711"/>
    </row>
    <row r="38" spans="1:17">
      <c r="A38" s="1235" t="s">
        <v>861</v>
      </c>
      <c r="B38" s="1236"/>
      <c r="C38" s="1236"/>
      <c r="D38" s="1236"/>
      <c r="E38" s="1236"/>
      <c r="F38" s="1236"/>
      <c r="G38" s="1236"/>
      <c r="H38" s="1236"/>
      <c r="I38" s="1236"/>
      <c r="J38" s="712">
        <v>5.65</v>
      </c>
      <c r="K38" s="711"/>
      <c r="L38" s="711"/>
      <c r="M38" s="711"/>
      <c r="N38" s="711"/>
      <c r="O38" s="711"/>
      <c r="P38" s="711"/>
      <c r="Q38" s="711"/>
    </row>
    <row r="39" spans="1:17">
      <c r="A39" s="1235" t="s">
        <v>862</v>
      </c>
      <c r="B39" s="1236"/>
      <c r="C39" s="1236"/>
      <c r="D39" s="1236"/>
      <c r="E39" s="1236"/>
      <c r="F39" s="1236"/>
      <c r="G39" s="1236"/>
      <c r="H39" s="1236"/>
      <c r="I39" s="1236"/>
      <c r="J39" s="712">
        <v>4.6500000000000004</v>
      </c>
      <c r="K39" s="711"/>
      <c r="L39" s="711"/>
      <c r="M39" s="711"/>
      <c r="N39" s="711"/>
      <c r="O39" s="711"/>
      <c r="P39" s="711"/>
      <c r="Q39" s="711"/>
    </row>
    <row r="40" spans="1:17">
      <c r="A40" s="1235" t="s">
        <v>559</v>
      </c>
      <c r="B40" s="1236"/>
      <c r="C40" s="1236"/>
      <c r="D40" s="1236"/>
      <c r="E40" s="1236"/>
      <c r="F40" s="1236"/>
      <c r="G40" s="1236"/>
      <c r="H40" s="1236"/>
      <c r="I40" s="1236"/>
      <c r="J40" s="712">
        <v>282.5</v>
      </c>
      <c r="K40" s="711"/>
      <c r="L40" s="711"/>
      <c r="M40" s="711"/>
      <c r="N40" s="711"/>
      <c r="O40" s="712">
        <v>0.67</v>
      </c>
      <c r="P40" s="711"/>
      <c r="Q40" s="711"/>
    </row>
    <row r="41" spans="1:17">
      <c r="A41" s="1235" t="s">
        <v>420</v>
      </c>
      <c r="B41" s="1236"/>
      <c r="C41" s="1236"/>
      <c r="D41" s="1236"/>
      <c r="E41" s="1236"/>
      <c r="F41" s="1236"/>
      <c r="G41" s="1236"/>
      <c r="H41" s="1236"/>
      <c r="I41" s="1236"/>
      <c r="J41" s="711"/>
      <c r="K41" s="711"/>
      <c r="L41" s="711"/>
      <c r="M41" s="711"/>
      <c r="N41" s="711"/>
      <c r="O41" s="711"/>
      <c r="P41" s="711"/>
      <c r="Q41" s="711"/>
    </row>
    <row r="42" spans="1:17">
      <c r="A42" s="1235" t="s">
        <v>422</v>
      </c>
      <c r="B42" s="1236"/>
      <c r="C42" s="1236"/>
      <c r="D42" s="1236"/>
      <c r="E42" s="1236"/>
      <c r="F42" s="1236"/>
      <c r="G42" s="1236"/>
      <c r="H42" s="1236"/>
      <c r="I42" s="1236"/>
      <c r="J42" s="712">
        <v>75.38</v>
      </c>
      <c r="K42" s="711"/>
      <c r="L42" s="711"/>
      <c r="M42" s="711"/>
      <c r="N42" s="711"/>
      <c r="O42" s="711"/>
      <c r="P42" s="711"/>
      <c r="Q42" s="711"/>
    </row>
    <row r="43" spans="1:17">
      <c r="A43" s="1235" t="s">
        <v>423</v>
      </c>
      <c r="B43" s="1236"/>
      <c r="C43" s="1236"/>
      <c r="D43" s="1236"/>
      <c r="E43" s="1236"/>
      <c r="F43" s="1236"/>
      <c r="G43" s="1236"/>
      <c r="H43" s="1236"/>
      <c r="I43" s="1236"/>
      <c r="J43" s="712">
        <v>76.709999999999994</v>
      </c>
      <c r="K43" s="711"/>
      <c r="L43" s="711"/>
      <c r="M43" s="711"/>
      <c r="N43" s="711"/>
      <c r="O43" s="711"/>
      <c r="P43" s="711"/>
      <c r="Q43" s="711"/>
    </row>
    <row r="44" spans="1:17" s="490" customFormat="1" ht="15">
      <c r="A44" s="1235" t="s">
        <v>424</v>
      </c>
      <c r="B44" s="1236"/>
      <c r="C44" s="1236"/>
      <c r="D44" s="1236"/>
      <c r="E44" s="1236"/>
      <c r="F44" s="1236"/>
      <c r="G44" s="1236"/>
      <c r="H44" s="1236"/>
      <c r="I44" s="1236"/>
      <c r="J44" s="712">
        <v>75.180000000000007</v>
      </c>
      <c r="K44" s="711"/>
      <c r="L44" s="711"/>
      <c r="M44" s="711"/>
      <c r="N44" s="711"/>
      <c r="O44" s="711"/>
      <c r="P44" s="711"/>
      <c r="Q44" s="711"/>
    </row>
    <row r="45" spans="1:17">
      <c r="A45" s="1235" t="s">
        <v>425</v>
      </c>
      <c r="B45" s="1236"/>
      <c r="C45" s="1236"/>
      <c r="D45" s="1236"/>
      <c r="E45" s="1236"/>
      <c r="F45" s="1236"/>
      <c r="G45" s="1236"/>
      <c r="H45" s="1236"/>
      <c r="I45" s="1236"/>
      <c r="J45" s="712">
        <v>55.23</v>
      </c>
      <c r="K45" s="711"/>
      <c r="L45" s="711"/>
      <c r="M45" s="711"/>
      <c r="N45" s="711"/>
      <c r="O45" s="711"/>
      <c r="P45" s="711"/>
      <c r="Q45" s="711"/>
    </row>
    <row r="46" spans="1:17">
      <c r="A46" s="1235" t="s">
        <v>426</v>
      </c>
      <c r="B46" s="1236"/>
      <c r="C46" s="1236"/>
      <c r="D46" s="1236"/>
      <c r="E46" s="1236"/>
      <c r="F46" s="1236"/>
      <c r="G46" s="1236"/>
      <c r="H46" s="1236"/>
      <c r="I46" s="1236"/>
      <c r="J46" s="712">
        <v>50.85</v>
      </c>
      <c r="K46" s="711"/>
      <c r="L46" s="711"/>
      <c r="M46" s="711"/>
      <c r="N46" s="711"/>
      <c r="O46" s="711"/>
      <c r="P46" s="711"/>
      <c r="Q46" s="711"/>
    </row>
    <row r="47" spans="1:17">
      <c r="A47" s="1246" t="s">
        <v>427</v>
      </c>
      <c r="B47" s="1236"/>
      <c r="C47" s="1236"/>
      <c r="D47" s="1236"/>
      <c r="E47" s="1236"/>
      <c r="F47" s="1236"/>
      <c r="G47" s="1236"/>
      <c r="H47" s="1236"/>
      <c r="I47" s="1236"/>
      <c r="J47" s="713">
        <v>323.39</v>
      </c>
      <c r="K47" s="711"/>
      <c r="L47" s="711"/>
      <c r="M47" s="711"/>
      <c r="N47" s="711"/>
      <c r="O47" s="713">
        <v>0.67</v>
      </c>
      <c r="P47" s="711"/>
      <c r="Q47" s="711"/>
    </row>
    <row r="48" spans="1:17">
      <c r="A48" s="682"/>
      <c r="B48" s="682"/>
      <c r="C48" s="682"/>
      <c r="D48" s="682"/>
      <c r="E48" s="682"/>
      <c r="F48" s="705"/>
      <c r="G48" s="705"/>
      <c r="H48" s="705"/>
      <c r="I48" s="705"/>
      <c r="J48" s="705"/>
      <c r="K48" s="705"/>
      <c r="L48" s="705"/>
      <c r="M48" s="705"/>
      <c r="N48" s="705"/>
      <c r="O48" s="705"/>
      <c r="P48" s="705"/>
      <c r="Q48" s="705"/>
    </row>
    <row r="49" spans="1:17">
      <c r="A49" s="682"/>
      <c r="B49" s="682"/>
      <c r="C49" s="682"/>
      <c r="D49" s="682"/>
      <c r="E49" s="682"/>
      <c r="F49" s="705"/>
      <c r="G49" s="705"/>
      <c r="H49" s="705"/>
      <c r="I49" s="705"/>
      <c r="J49" s="705"/>
      <c r="K49" s="705"/>
      <c r="L49" s="705"/>
      <c r="M49" s="705"/>
      <c r="N49" s="705"/>
      <c r="O49" s="705"/>
      <c r="P49" s="705"/>
      <c r="Q49" s="705"/>
    </row>
    <row r="50" spans="1:17">
      <c r="A50" s="682"/>
      <c r="B50" s="682"/>
      <c r="C50" s="682"/>
      <c r="D50" s="682"/>
      <c r="E50" s="682"/>
      <c r="F50" s="705"/>
      <c r="G50" s="705"/>
      <c r="H50" s="705"/>
      <c r="I50" s="705"/>
      <c r="J50" s="705"/>
      <c r="K50" s="705"/>
      <c r="L50" s="705"/>
      <c r="M50" s="705"/>
      <c r="N50" s="705"/>
      <c r="O50" s="705"/>
      <c r="P50" s="705"/>
      <c r="Q50" s="705"/>
    </row>
    <row r="51" spans="1:17">
      <c r="A51" s="1243"/>
      <c r="B51" s="1244"/>
      <c r="C51" s="1244"/>
      <c r="D51" s="1244"/>
      <c r="E51" s="1244"/>
      <c r="F51" s="1244"/>
      <c r="G51" s="1244"/>
      <c r="H51" s="1244"/>
      <c r="I51" s="1244"/>
      <c r="J51" s="1244"/>
      <c r="K51" s="1244"/>
      <c r="L51" s="1244"/>
      <c r="M51" s="1244"/>
      <c r="N51" s="1244"/>
      <c r="O51" s="1244"/>
      <c r="P51" s="1244"/>
      <c r="Q51" s="1244"/>
    </row>
    <row r="52" spans="1:17">
      <c r="A52" s="1245"/>
      <c r="B52" s="1244"/>
      <c r="C52" s="1244"/>
      <c r="D52" s="1244"/>
      <c r="E52" s="1244"/>
      <c r="F52" s="1244"/>
      <c r="G52" s="1244"/>
      <c r="H52" s="1244"/>
      <c r="I52" s="1244"/>
      <c r="J52" s="1244"/>
      <c r="K52" s="1244"/>
      <c r="L52" s="1244"/>
      <c r="M52" s="1244"/>
      <c r="N52" s="1244"/>
      <c r="O52" s="1244"/>
      <c r="P52" s="1244"/>
      <c r="Q52" s="1244"/>
    </row>
    <row r="53" spans="1:17">
      <c r="A53" s="682"/>
      <c r="B53" s="682"/>
      <c r="C53" s="682"/>
      <c r="D53" s="682"/>
      <c r="E53" s="682"/>
      <c r="F53" s="705"/>
      <c r="G53" s="705"/>
      <c r="H53" s="705"/>
      <c r="I53" s="705"/>
      <c r="J53" s="705"/>
      <c r="K53" s="705"/>
      <c r="L53" s="705"/>
      <c r="M53" s="705"/>
      <c r="N53" s="705"/>
      <c r="O53" s="705"/>
      <c r="P53" s="705"/>
      <c r="Q53" s="705"/>
    </row>
    <row r="54" spans="1:17">
      <c r="A54" s="1243"/>
      <c r="B54" s="1244"/>
      <c r="C54" s="1244"/>
      <c r="D54" s="1244"/>
      <c r="E54" s="1244"/>
      <c r="F54" s="1244"/>
      <c r="G54" s="1244"/>
      <c r="H54" s="1244"/>
      <c r="I54" s="1244"/>
      <c r="J54" s="1244"/>
      <c r="K54" s="1244"/>
      <c r="L54" s="1244"/>
      <c r="M54" s="1244"/>
      <c r="N54" s="1244"/>
      <c r="O54" s="1244"/>
      <c r="P54" s="1244"/>
      <c r="Q54" s="1244"/>
    </row>
    <row r="55" spans="1:17">
      <c r="A55" s="1245"/>
      <c r="B55" s="1244"/>
      <c r="C55" s="1244"/>
      <c r="D55" s="1244"/>
      <c r="E55" s="1244"/>
      <c r="F55" s="1244"/>
      <c r="G55" s="1244"/>
      <c r="H55" s="1244"/>
      <c r="I55" s="1244"/>
      <c r="J55" s="1244"/>
      <c r="K55" s="1244"/>
      <c r="L55" s="1244"/>
      <c r="M55" s="1244"/>
      <c r="N55" s="1244"/>
      <c r="O55" s="1244"/>
      <c r="P55" s="1244"/>
      <c r="Q55" s="1244"/>
    </row>
    <row r="56" spans="1:17">
      <c r="A56" s="682"/>
      <c r="B56" s="682"/>
      <c r="C56" s="682"/>
      <c r="D56" s="682"/>
      <c r="E56" s="682"/>
      <c r="F56" s="705"/>
      <c r="G56" s="705"/>
      <c r="H56" s="705"/>
      <c r="I56" s="705"/>
      <c r="J56" s="705"/>
      <c r="K56" s="705"/>
      <c r="L56" s="705"/>
      <c r="M56" s="705"/>
      <c r="N56" s="705"/>
      <c r="O56" s="705"/>
      <c r="P56" s="705"/>
      <c r="Q56" s="705"/>
    </row>
    <row r="57" spans="1:17">
      <c r="A57" s="682"/>
      <c r="B57" s="682"/>
      <c r="C57" s="682"/>
      <c r="D57" s="682"/>
      <c r="E57" s="682"/>
      <c r="F57" s="705"/>
      <c r="G57" s="705"/>
      <c r="H57" s="705"/>
      <c r="I57" s="705"/>
      <c r="J57" s="705"/>
      <c r="K57" s="705"/>
      <c r="L57" s="705"/>
      <c r="M57" s="705"/>
      <c r="N57" s="705"/>
      <c r="O57" s="705"/>
      <c r="P57" s="705"/>
      <c r="Q57" s="705"/>
    </row>
    <row r="58" spans="1:17">
      <c r="A58" s="682"/>
      <c r="B58" s="682"/>
      <c r="C58" s="682"/>
      <c r="D58" s="682"/>
      <c r="E58" s="682"/>
      <c r="F58" s="705"/>
      <c r="G58" s="705"/>
      <c r="H58" s="705"/>
      <c r="I58" s="705"/>
      <c r="J58" s="705"/>
      <c r="K58" s="705"/>
      <c r="L58" s="705"/>
      <c r="M58" s="705"/>
      <c r="N58" s="705"/>
      <c r="O58" s="705"/>
      <c r="P58" s="705"/>
      <c r="Q58" s="705"/>
    </row>
    <row r="59" spans="1:17">
      <c r="A59" s="1243"/>
      <c r="B59" s="1244"/>
      <c r="C59" s="1244"/>
      <c r="D59" s="1244"/>
      <c r="E59" s="1244"/>
      <c r="F59" s="1244"/>
      <c r="G59" s="1244"/>
      <c r="H59" s="1244"/>
      <c r="I59" s="1244"/>
      <c r="J59" s="1244"/>
      <c r="K59" s="1244"/>
      <c r="L59" s="1244"/>
      <c r="M59" s="1244"/>
      <c r="N59" s="1244"/>
      <c r="O59" s="1244"/>
      <c r="P59" s="1244"/>
      <c r="Q59" s="1244"/>
    </row>
    <row r="60" spans="1:17">
      <c r="A60" s="1245"/>
      <c r="B60" s="1244"/>
      <c r="C60" s="1244"/>
      <c r="D60" s="1244"/>
      <c r="E60" s="1244"/>
      <c r="F60" s="1244"/>
      <c r="G60" s="1244"/>
      <c r="H60" s="1244"/>
      <c r="I60" s="1244"/>
      <c r="J60" s="1244"/>
      <c r="K60" s="1244"/>
      <c r="L60" s="1244"/>
      <c r="M60" s="1244"/>
      <c r="N60" s="1244"/>
      <c r="O60" s="1244"/>
      <c r="P60" s="1244"/>
      <c r="Q60" s="1244"/>
    </row>
    <row r="61" spans="1:17">
      <c r="A61" s="682"/>
      <c r="B61" s="682"/>
      <c r="C61" s="682"/>
      <c r="D61" s="682"/>
      <c r="E61" s="682"/>
      <c r="F61" s="705"/>
      <c r="G61" s="705"/>
      <c r="H61" s="705"/>
      <c r="I61" s="705"/>
      <c r="J61" s="705"/>
      <c r="K61" s="705"/>
      <c r="L61" s="705"/>
      <c r="M61" s="705"/>
      <c r="N61" s="705"/>
      <c r="O61" s="705"/>
      <c r="P61" s="705"/>
      <c r="Q61" s="705"/>
    </row>
    <row r="62" spans="1:17">
      <c r="A62" s="1243"/>
      <c r="B62" s="1244"/>
      <c r="C62" s="1244"/>
      <c r="D62" s="1244"/>
      <c r="E62" s="1244"/>
      <c r="F62" s="1244"/>
      <c r="G62" s="1244"/>
      <c r="H62" s="1244"/>
      <c r="I62" s="1244"/>
      <c r="J62" s="1244"/>
      <c r="K62" s="1244"/>
      <c r="L62" s="1244"/>
      <c r="M62" s="1244"/>
      <c r="N62" s="1244"/>
      <c r="O62" s="1244"/>
      <c r="P62" s="1244"/>
      <c r="Q62" s="1244"/>
    </row>
    <row r="63" spans="1:17">
      <c r="A63" s="682"/>
      <c r="B63" s="682"/>
      <c r="C63" s="682"/>
      <c r="D63" s="682"/>
      <c r="E63" s="682"/>
      <c r="F63" s="705"/>
      <c r="G63" s="705"/>
      <c r="H63" s="705"/>
      <c r="I63" s="705"/>
      <c r="J63" s="705"/>
      <c r="K63" s="705"/>
      <c r="L63" s="705"/>
      <c r="M63" s="705"/>
      <c r="N63" s="705"/>
      <c r="O63" s="705"/>
      <c r="P63" s="705"/>
      <c r="Q63" s="705"/>
    </row>
    <row r="64" spans="1:17">
      <c r="A64" s="682"/>
      <c r="B64" s="682"/>
      <c r="C64" s="682"/>
      <c r="D64" s="682"/>
      <c r="E64" s="682"/>
      <c r="F64" s="705"/>
      <c r="G64" s="705"/>
      <c r="H64" s="705"/>
      <c r="I64" s="705"/>
      <c r="J64" s="705"/>
      <c r="K64" s="705"/>
      <c r="L64" s="705"/>
      <c r="M64" s="705"/>
      <c r="N64" s="705"/>
      <c r="O64" s="705"/>
      <c r="P64" s="705"/>
      <c r="Q64" s="705"/>
    </row>
    <row r="65" spans="1:17">
      <c r="A65" s="682"/>
      <c r="B65" s="682"/>
      <c r="C65" s="682"/>
      <c r="D65" s="682"/>
      <c r="E65" s="682"/>
      <c r="F65" s="705"/>
      <c r="G65" s="705"/>
      <c r="H65" s="705"/>
      <c r="I65" s="705"/>
      <c r="J65" s="705"/>
      <c r="K65" s="705"/>
      <c r="L65" s="705"/>
      <c r="M65" s="705"/>
      <c r="N65" s="705"/>
      <c r="O65" s="705"/>
      <c r="P65" s="705"/>
      <c r="Q65" s="705"/>
    </row>
    <row r="66" spans="1:17">
      <c r="A66" s="682"/>
      <c r="B66" s="682"/>
      <c r="C66" s="682"/>
      <c r="D66" s="682"/>
      <c r="E66" s="682"/>
      <c r="F66" s="705"/>
      <c r="G66" s="705"/>
      <c r="H66" s="705"/>
      <c r="I66" s="705"/>
      <c r="J66" s="705"/>
      <c r="K66" s="705"/>
      <c r="L66" s="705"/>
      <c r="M66" s="705"/>
      <c r="N66" s="705"/>
      <c r="O66" s="705"/>
      <c r="P66" s="705"/>
      <c r="Q66" s="705"/>
    </row>
    <row r="67" spans="1:17">
      <c r="A67" s="1243"/>
      <c r="B67" s="1244"/>
      <c r="C67" s="1244"/>
      <c r="D67" s="1244"/>
      <c r="E67" s="1244"/>
      <c r="F67" s="1244"/>
      <c r="G67" s="1244"/>
      <c r="H67" s="1244"/>
      <c r="I67" s="1244"/>
      <c r="J67" s="1244"/>
      <c r="K67" s="1244"/>
      <c r="L67" s="1244"/>
      <c r="M67" s="1244"/>
      <c r="N67" s="1244"/>
      <c r="O67" s="1244"/>
      <c r="P67" s="1244"/>
      <c r="Q67" s="1244"/>
    </row>
    <row r="68" spans="1:17">
      <c r="A68" s="1245"/>
      <c r="B68" s="1244"/>
      <c r="C68" s="1244"/>
      <c r="D68" s="1244"/>
      <c r="E68" s="1244"/>
      <c r="F68" s="1244"/>
      <c r="G68" s="1244"/>
      <c r="H68" s="1244"/>
      <c r="I68" s="1244"/>
      <c r="J68" s="1244"/>
      <c r="K68" s="1244"/>
      <c r="L68" s="1244"/>
      <c r="M68" s="1244"/>
      <c r="N68" s="1244"/>
      <c r="O68" s="1244"/>
      <c r="P68" s="1244"/>
      <c r="Q68" s="1244"/>
    </row>
    <row r="69" spans="1:17">
      <c r="A69" s="682"/>
      <c r="B69" s="682"/>
      <c r="C69" s="682"/>
      <c r="D69" s="682"/>
      <c r="E69" s="682"/>
      <c r="F69" s="705"/>
      <c r="G69" s="705"/>
      <c r="H69" s="705"/>
      <c r="I69" s="705"/>
      <c r="J69" s="705"/>
      <c r="K69" s="705"/>
      <c r="L69" s="705"/>
      <c r="M69" s="705"/>
      <c r="N69" s="705"/>
      <c r="O69" s="705"/>
      <c r="P69" s="705"/>
      <c r="Q69" s="705"/>
    </row>
    <row r="70" spans="1:17">
      <c r="A70" s="1243"/>
      <c r="B70" s="1244"/>
      <c r="C70" s="1244"/>
      <c r="D70" s="1244"/>
      <c r="E70" s="1244"/>
      <c r="F70" s="1244"/>
      <c r="G70" s="1244"/>
      <c r="H70" s="1244"/>
      <c r="I70" s="1244"/>
      <c r="J70" s="1244"/>
      <c r="K70" s="1244"/>
      <c r="L70" s="1244"/>
      <c r="M70" s="1244"/>
      <c r="N70" s="1244"/>
      <c r="O70" s="1244"/>
      <c r="P70" s="1244"/>
      <c r="Q70" s="1244"/>
    </row>
    <row r="71" spans="1:17">
      <c r="A71" s="682"/>
      <c r="B71" s="682"/>
      <c r="C71" s="682"/>
      <c r="D71" s="682"/>
      <c r="E71" s="682"/>
      <c r="F71" s="705"/>
      <c r="G71" s="705"/>
      <c r="H71" s="705"/>
      <c r="I71" s="705"/>
      <c r="J71" s="705"/>
      <c r="K71" s="705"/>
      <c r="L71" s="705"/>
      <c r="M71" s="705"/>
      <c r="N71" s="705"/>
      <c r="O71" s="705"/>
      <c r="P71" s="705"/>
      <c r="Q71" s="705"/>
    </row>
    <row r="72" spans="1:17">
      <c r="A72" s="682"/>
      <c r="B72" s="682"/>
      <c r="C72" s="682"/>
      <c r="D72" s="682"/>
      <c r="E72" s="682"/>
      <c r="F72" s="705"/>
      <c r="G72" s="705"/>
      <c r="H72" s="705"/>
      <c r="I72" s="705"/>
      <c r="J72" s="705"/>
      <c r="K72" s="705"/>
      <c r="L72" s="705"/>
      <c r="M72" s="705"/>
      <c r="N72" s="705"/>
      <c r="O72" s="705"/>
      <c r="P72" s="705"/>
      <c r="Q72" s="705"/>
    </row>
    <row r="73" spans="1:17">
      <c r="A73" s="682"/>
      <c r="B73" s="682"/>
      <c r="C73" s="682"/>
      <c r="D73" s="682"/>
      <c r="E73" s="682"/>
      <c r="F73" s="705"/>
      <c r="G73" s="705"/>
      <c r="H73" s="705"/>
      <c r="I73" s="705"/>
      <c r="J73" s="705"/>
      <c r="K73" s="705"/>
      <c r="L73" s="705"/>
      <c r="M73" s="705"/>
      <c r="N73" s="705"/>
      <c r="O73" s="705"/>
      <c r="P73" s="705"/>
      <c r="Q73" s="705"/>
    </row>
    <row r="74" spans="1:17">
      <c r="A74" s="682"/>
      <c r="B74" s="682"/>
      <c r="C74" s="682"/>
      <c r="D74" s="682"/>
      <c r="E74" s="682"/>
      <c r="F74" s="705"/>
      <c r="G74" s="705"/>
      <c r="H74" s="705"/>
      <c r="I74" s="705"/>
      <c r="J74" s="705"/>
      <c r="K74" s="705"/>
      <c r="L74" s="705"/>
      <c r="M74" s="705"/>
      <c r="N74" s="705"/>
      <c r="O74" s="705"/>
      <c r="P74" s="705"/>
      <c r="Q74" s="705"/>
    </row>
    <row r="75" spans="1:17">
      <c r="A75" s="1243"/>
      <c r="B75" s="1244"/>
      <c r="C75" s="1244"/>
      <c r="D75" s="1244"/>
      <c r="E75" s="1244"/>
      <c r="F75" s="1244"/>
      <c r="G75" s="1244"/>
      <c r="H75" s="1244"/>
      <c r="I75" s="1244"/>
      <c r="J75" s="1244"/>
      <c r="K75" s="1244"/>
      <c r="L75" s="1244"/>
      <c r="M75" s="1244"/>
      <c r="N75" s="1244"/>
      <c r="O75" s="1244"/>
      <c r="P75" s="1244"/>
      <c r="Q75" s="1244"/>
    </row>
    <row r="76" spans="1:17">
      <c r="A76" s="1245"/>
      <c r="B76" s="1244"/>
      <c r="C76" s="1244"/>
      <c r="D76" s="1244"/>
      <c r="E76" s="1244"/>
      <c r="F76" s="1244"/>
      <c r="G76" s="1244"/>
      <c r="H76" s="1244"/>
      <c r="I76" s="1244"/>
      <c r="J76" s="1244"/>
      <c r="K76" s="1244"/>
      <c r="L76" s="1244"/>
      <c r="M76" s="1244"/>
      <c r="N76" s="1244"/>
      <c r="O76" s="1244"/>
      <c r="P76" s="1244"/>
      <c r="Q76" s="1244"/>
    </row>
    <row r="77" spans="1:17">
      <c r="A77" s="682"/>
      <c r="B77" s="682"/>
      <c r="C77" s="682"/>
      <c r="D77" s="682"/>
      <c r="E77" s="682"/>
      <c r="F77" s="705"/>
      <c r="G77" s="705"/>
      <c r="H77" s="705"/>
      <c r="I77" s="705"/>
      <c r="J77" s="705"/>
      <c r="K77" s="705"/>
      <c r="L77" s="705"/>
      <c r="M77" s="705"/>
      <c r="N77" s="705"/>
      <c r="O77" s="705"/>
      <c r="P77" s="705"/>
      <c r="Q77" s="705"/>
    </row>
    <row r="78" spans="1:17">
      <c r="A78" s="1243"/>
      <c r="B78" s="1244"/>
      <c r="C78" s="1244"/>
      <c r="D78" s="1244"/>
      <c r="E78" s="1244"/>
      <c r="F78" s="1244"/>
      <c r="G78" s="1244"/>
      <c r="H78" s="1244"/>
      <c r="I78" s="1244"/>
      <c r="J78" s="1244"/>
      <c r="K78" s="1244"/>
      <c r="L78" s="1244"/>
      <c r="M78" s="1244"/>
      <c r="N78" s="1244"/>
      <c r="O78" s="1244"/>
      <c r="P78" s="1244"/>
      <c r="Q78" s="1244"/>
    </row>
    <row r="79" spans="1:17">
      <c r="A79" s="682"/>
      <c r="B79" s="682"/>
      <c r="C79" s="682"/>
      <c r="D79" s="682"/>
      <c r="E79" s="682"/>
      <c r="F79" s="705"/>
      <c r="G79" s="705"/>
      <c r="H79" s="705"/>
      <c r="I79" s="705"/>
      <c r="J79" s="705"/>
      <c r="K79" s="705"/>
      <c r="L79" s="705"/>
      <c r="M79" s="705"/>
      <c r="N79" s="705"/>
      <c r="O79" s="705"/>
      <c r="P79" s="705"/>
      <c r="Q79" s="705"/>
    </row>
    <row r="80" spans="1:17">
      <c r="A80" s="682"/>
      <c r="B80" s="682"/>
      <c r="C80" s="682"/>
      <c r="D80" s="682"/>
      <c r="E80" s="682"/>
      <c r="F80" s="705"/>
      <c r="G80" s="705"/>
      <c r="H80" s="705"/>
      <c r="I80" s="705"/>
      <c r="J80" s="705"/>
      <c r="K80" s="705"/>
      <c r="L80" s="705"/>
      <c r="M80" s="705"/>
      <c r="N80" s="705"/>
      <c r="O80" s="705"/>
      <c r="P80" s="705"/>
      <c r="Q80" s="705"/>
    </row>
    <row r="81" spans="1:17">
      <c r="A81" s="1243"/>
      <c r="B81" s="1244"/>
      <c r="C81" s="1244"/>
      <c r="D81" s="1244"/>
      <c r="E81" s="1244"/>
      <c r="F81" s="1244"/>
      <c r="G81" s="1244"/>
      <c r="H81" s="1244"/>
      <c r="I81" s="1244"/>
      <c r="J81" s="1244"/>
      <c r="K81" s="1244"/>
      <c r="L81" s="1244"/>
      <c r="M81" s="1244"/>
      <c r="N81" s="1244"/>
      <c r="O81" s="1244"/>
      <c r="P81" s="1244"/>
      <c r="Q81" s="1244"/>
    </row>
    <row r="82" spans="1:17">
      <c r="A82" s="1245"/>
      <c r="B82" s="1244"/>
      <c r="C82" s="1244"/>
      <c r="D82" s="1244"/>
      <c r="E82" s="1244"/>
      <c r="F82" s="1244"/>
      <c r="G82" s="1244"/>
      <c r="H82" s="1244"/>
      <c r="I82" s="1244"/>
      <c r="J82" s="1244"/>
      <c r="K82" s="1244"/>
      <c r="L82" s="1244"/>
      <c r="M82" s="1244"/>
      <c r="N82" s="1244"/>
      <c r="O82" s="1244"/>
      <c r="P82" s="1244"/>
      <c r="Q82" s="1244"/>
    </row>
    <row r="83" spans="1:17">
      <c r="A83" s="682"/>
      <c r="B83" s="682"/>
      <c r="C83" s="682"/>
      <c r="D83" s="682"/>
      <c r="E83" s="682"/>
      <c r="F83" s="705"/>
      <c r="G83" s="705"/>
      <c r="H83" s="705"/>
      <c r="I83" s="705"/>
      <c r="J83" s="705"/>
      <c r="K83" s="705"/>
      <c r="L83" s="705"/>
      <c r="M83" s="705"/>
      <c r="N83" s="705"/>
      <c r="O83" s="705"/>
      <c r="P83" s="705"/>
      <c r="Q83" s="705"/>
    </row>
    <row r="84" spans="1:17">
      <c r="A84" s="1243"/>
      <c r="B84" s="1244"/>
      <c r="C84" s="1244"/>
      <c r="D84" s="1244"/>
      <c r="E84" s="1244"/>
      <c r="F84" s="1244"/>
      <c r="G84" s="1244"/>
      <c r="H84" s="1244"/>
      <c r="I84" s="1244"/>
      <c r="J84" s="1244"/>
      <c r="K84" s="1244"/>
      <c r="L84" s="1244"/>
      <c r="M84" s="1244"/>
      <c r="N84" s="1244"/>
      <c r="O84" s="1244"/>
      <c r="P84" s="1244"/>
      <c r="Q84" s="1244"/>
    </row>
    <row r="85" spans="1:17">
      <c r="A85" s="1245"/>
      <c r="B85" s="1244"/>
      <c r="C85" s="1244"/>
      <c r="D85" s="1244"/>
      <c r="E85" s="1244"/>
      <c r="F85" s="1244"/>
      <c r="G85" s="1244"/>
      <c r="H85" s="1244"/>
      <c r="I85" s="1244"/>
      <c r="J85" s="1244"/>
      <c r="K85" s="1244"/>
      <c r="L85" s="1244"/>
      <c r="M85" s="1244"/>
      <c r="N85" s="1244"/>
      <c r="O85" s="1244"/>
      <c r="P85" s="1244"/>
      <c r="Q85" s="1244"/>
    </row>
    <row r="86" spans="1:17">
      <c r="A86" s="682"/>
      <c r="B86" s="682"/>
      <c r="C86" s="682"/>
      <c r="D86" s="682"/>
      <c r="E86" s="682"/>
      <c r="F86" s="705"/>
      <c r="G86" s="705"/>
      <c r="H86" s="705"/>
      <c r="I86" s="705"/>
      <c r="J86" s="705"/>
      <c r="K86" s="705"/>
      <c r="L86" s="705"/>
      <c r="M86" s="705"/>
      <c r="N86" s="705"/>
      <c r="O86" s="705"/>
      <c r="P86" s="705"/>
      <c r="Q86" s="705"/>
    </row>
    <row r="87" spans="1:17">
      <c r="A87" s="682"/>
      <c r="B87" s="682"/>
      <c r="C87" s="682"/>
      <c r="D87" s="682"/>
      <c r="E87" s="682"/>
      <c r="F87" s="705"/>
      <c r="G87" s="705"/>
      <c r="H87" s="705"/>
      <c r="I87" s="705"/>
      <c r="J87" s="705"/>
      <c r="K87" s="705"/>
      <c r="L87" s="705"/>
      <c r="M87" s="705"/>
      <c r="N87" s="705"/>
      <c r="O87" s="705"/>
      <c r="P87" s="705"/>
      <c r="Q87" s="705"/>
    </row>
    <row r="88" spans="1:17">
      <c r="A88" s="682"/>
      <c r="B88" s="682"/>
      <c r="C88" s="682"/>
      <c r="D88" s="682"/>
      <c r="E88" s="682"/>
      <c r="F88" s="705"/>
      <c r="G88" s="705"/>
      <c r="H88" s="705"/>
      <c r="I88" s="705"/>
      <c r="J88" s="705"/>
      <c r="K88" s="705"/>
      <c r="L88" s="705"/>
      <c r="M88" s="705"/>
      <c r="N88" s="705"/>
      <c r="O88" s="705"/>
      <c r="P88" s="705"/>
      <c r="Q88" s="705"/>
    </row>
    <row r="89" spans="1:17">
      <c r="A89" s="682"/>
      <c r="B89" s="682"/>
      <c r="C89" s="682"/>
      <c r="D89" s="682"/>
      <c r="E89" s="682"/>
      <c r="F89" s="705"/>
      <c r="G89" s="705"/>
      <c r="H89" s="705"/>
      <c r="I89" s="705"/>
      <c r="J89" s="705"/>
      <c r="K89" s="705"/>
      <c r="L89" s="705"/>
      <c r="M89" s="705"/>
      <c r="N89" s="705"/>
      <c r="O89" s="705"/>
      <c r="P89" s="705"/>
      <c r="Q89" s="705"/>
    </row>
    <row r="90" spans="1:17">
      <c r="F90" s="705"/>
      <c r="G90" s="705"/>
      <c r="H90" s="705"/>
      <c r="I90" s="705"/>
      <c r="J90" s="705"/>
      <c r="K90" s="705"/>
      <c r="L90" s="705"/>
      <c r="M90" s="705"/>
      <c r="N90" s="705"/>
      <c r="O90" s="705"/>
      <c r="P90" s="705"/>
      <c r="Q90" s="705"/>
    </row>
    <row r="91" spans="1:17">
      <c r="F91" s="705"/>
      <c r="G91" s="705"/>
      <c r="H91" s="705"/>
      <c r="I91" s="705"/>
      <c r="J91" s="705"/>
      <c r="K91" s="705"/>
      <c r="L91" s="705"/>
      <c r="M91" s="705"/>
      <c r="N91" s="705"/>
      <c r="O91" s="705"/>
      <c r="P91" s="705"/>
      <c r="Q91" s="705"/>
    </row>
    <row r="92" spans="1:17">
      <c r="F92" s="705"/>
      <c r="G92" s="705"/>
      <c r="H92" s="705"/>
      <c r="I92" s="705"/>
      <c r="J92" s="705"/>
      <c r="K92" s="705"/>
      <c r="L92" s="705"/>
      <c r="M92" s="705"/>
      <c r="N92" s="705"/>
      <c r="O92" s="705"/>
      <c r="P92" s="705"/>
      <c r="Q92" s="705"/>
    </row>
    <row r="93" spans="1:17">
      <c r="F93" s="705"/>
      <c r="G93" s="705"/>
      <c r="H93" s="705"/>
      <c r="I93" s="705"/>
      <c r="J93" s="705"/>
      <c r="K93" s="705"/>
      <c r="L93" s="705"/>
      <c r="M93" s="705"/>
      <c r="N93" s="705"/>
      <c r="O93" s="705"/>
      <c r="P93" s="705"/>
      <c r="Q93" s="705"/>
    </row>
    <row r="94" spans="1:17">
      <c r="F94" s="705"/>
      <c r="G94" s="705"/>
      <c r="H94" s="705"/>
      <c r="I94" s="705"/>
      <c r="J94" s="705"/>
      <c r="K94" s="705"/>
      <c r="L94" s="705"/>
      <c r="M94" s="705"/>
      <c r="N94" s="705"/>
      <c r="O94" s="705"/>
      <c r="P94" s="705"/>
      <c r="Q94" s="705"/>
    </row>
    <row r="95" spans="1:17">
      <c r="F95" s="705"/>
      <c r="G95" s="705"/>
      <c r="H95" s="705"/>
      <c r="I95" s="705"/>
      <c r="J95" s="705"/>
      <c r="K95" s="705"/>
      <c r="L95" s="705"/>
      <c r="M95" s="705"/>
      <c r="N95" s="705"/>
      <c r="O95" s="705"/>
      <c r="P95" s="705"/>
      <c r="Q95" s="705"/>
    </row>
    <row r="96" spans="1:17">
      <c r="F96" s="705"/>
      <c r="G96" s="705"/>
      <c r="H96" s="705"/>
      <c r="I96" s="705"/>
      <c r="J96" s="705"/>
      <c r="K96" s="705"/>
      <c r="L96" s="705"/>
      <c r="M96" s="705"/>
      <c r="N96" s="705"/>
      <c r="O96" s="705"/>
      <c r="P96" s="705"/>
      <c r="Q96" s="705"/>
    </row>
    <row r="97" spans="6:17">
      <c r="F97" s="705"/>
      <c r="G97" s="705"/>
      <c r="H97" s="705"/>
      <c r="I97" s="705"/>
      <c r="J97" s="705"/>
      <c r="K97" s="705"/>
      <c r="L97" s="705"/>
      <c r="M97" s="705"/>
      <c r="N97" s="705"/>
      <c r="O97" s="705"/>
      <c r="P97" s="705"/>
      <c r="Q97" s="705"/>
    </row>
    <row r="98" spans="6:17">
      <c r="F98" s="705"/>
      <c r="G98" s="705"/>
      <c r="H98" s="705"/>
      <c r="I98" s="705"/>
      <c r="J98" s="705"/>
      <c r="K98" s="705"/>
      <c r="L98" s="705"/>
      <c r="M98" s="705"/>
      <c r="N98" s="705"/>
      <c r="O98" s="705"/>
      <c r="P98" s="705"/>
      <c r="Q98" s="705"/>
    </row>
    <row r="99" spans="6:17">
      <c r="F99" s="705"/>
      <c r="G99" s="705"/>
      <c r="H99" s="705"/>
      <c r="I99" s="705"/>
      <c r="J99" s="705"/>
      <c r="K99" s="705"/>
      <c r="L99" s="705"/>
      <c r="M99" s="705"/>
      <c r="N99" s="705"/>
      <c r="O99" s="705"/>
      <c r="P99" s="705"/>
      <c r="Q99" s="705"/>
    </row>
    <row r="100" spans="6:17">
      <c r="F100" s="705"/>
      <c r="G100" s="705"/>
      <c r="H100" s="705"/>
      <c r="I100" s="705"/>
      <c r="J100" s="705"/>
      <c r="K100" s="705"/>
      <c r="L100" s="705"/>
      <c r="M100" s="705"/>
      <c r="N100" s="705"/>
      <c r="O100" s="705"/>
      <c r="P100" s="705"/>
      <c r="Q100" s="705"/>
    </row>
    <row r="101" spans="6:17">
      <c r="F101" s="705"/>
      <c r="G101" s="705"/>
      <c r="H101" s="705"/>
      <c r="I101" s="705"/>
      <c r="J101" s="705"/>
      <c r="K101" s="705"/>
      <c r="L101" s="705"/>
      <c r="M101" s="705"/>
      <c r="N101" s="705"/>
      <c r="O101" s="705"/>
      <c r="P101" s="705"/>
      <c r="Q101" s="705"/>
    </row>
    <row r="102" spans="6:17">
      <c r="F102" s="705"/>
      <c r="G102" s="705"/>
      <c r="H102" s="705"/>
      <c r="I102" s="705"/>
      <c r="J102" s="705"/>
      <c r="K102" s="705"/>
      <c r="L102" s="705"/>
      <c r="M102" s="705"/>
      <c r="N102" s="705"/>
      <c r="O102" s="705"/>
      <c r="P102" s="705"/>
      <c r="Q102" s="705"/>
    </row>
    <row r="103" spans="6:17">
      <c r="F103" s="705"/>
      <c r="G103" s="705"/>
      <c r="H103" s="705"/>
      <c r="I103" s="705"/>
      <c r="J103" s="705"/>
      <c r="K103" s="705"/>
      <c r="L103" s="705"/>
      <c r="M103" s="705"/>
      <c r="N103" s="705"/>
      <c r="O103" s="705"/>
      <c r="P103" s="705"/>
      <c r="Q103" s="705"/>
    </row>
    <row r="104" spans="6:17">
      <c r="F104" s="705"/>
      <c r="G104" s="705"/>
      <c r="H104" s="705"/>
      <c r="I104" s="705"/>
      <c r="J104" s="705"/>
      <c r="K104" s="705"/>
      <c r="L104" s="705"/>
      <c r="M104" s="705"/>
      <c r="N104" s="705"/>
      <c r="O104" s="705"/>
      <c r="P104" s="705"/>
      <c r="Q104" s="705"/>
    </row>
    <row r="105" spans="6:17">
      <c r="F105" s="705"/>
      <c r="G105" s="705"/>
      <c r="H105" s="705"/>
      <c r="I105" s="705"/>
      <c r="J105" s="705"/>
      <c r="K105" s="705"/>
      <c r="L105" s="705"/>
      <c r="M105" s="705"/>
      <c r="N105" s="705"/>
      <c r="O105" s="705"/>
      <c r="P105" s="705"/>
      <c r="Q105" s="705"/>
    </row>
    <row r="106" spans="6:17">
      <c r="F106" s="705"/>
      <c r="G106" s="705"/>
      <c r="H106" s="705"/>
      <c r="I106" s="705"/>
      <c r="J106" s="705"/>
      <c r="K106" s="705"/>
      <c r="L106" s="705"/>
      <c r="M106" s="705"/>
      <c r="N106" s="705"/>
      <c r="O106" s="705"/>
      <c r="P106" s="705"/>
      <c r="Q106" s="705"/>
    </row>
    <row r="107" spans="6:17">
      <c r="F107" s="705"/>
      <c r="G107" s="705"/>
      <c r="H107" s="705"/>
      <c r="I107" s="705"/>
      <c r="J107" s="705"/>
      <c r="K107" s="705"/>
      <c r="L107" s="705"/>
      <c r="M107" s="705"/>
      <c r="N107" s="705"/>
      <c r="O107" s="705"/>
      <c r="P107" s="705"/>
      <c r="Q107" s="705"/>
    </row>
    <row r="108" spans="6:17">
      <c r="F108" s="705"/>
      <c r="G108" s="705"/>
      <c r="H108" s="705"/>
      <c r="I108" s="705"/>
      <c r="J108" s="705"/>
      <c r="K108" s="705"/>
      <c r="L108" s="705"/>
      <c r="M108" s="705"/>
      <c r="N108" s="705"/>
      <c r="O108" s="705"/>
      <c r="P108" s="705"/>
      <c r="Q108" s="705"/>
    </row>
    <row r="109" spans="6:17">
      <c r="F109" s="705"/>
      <c r="G109" s="705"/>
      <c r="H109" s="705"/>
      <c r="I109" s="705"/>
      <c r="J109" s="705"/>
      <c r="K109" s="705"/>
      <c r="L109" s="705"/>
      <c r="M109" s="705"/>
      <c r="N109" s="705"/>
      <c r="O109" s="705"/>
      <c r="P109" s="705"/>
      <c r="Q109" s="705"/>
    </row>
    <row r="110" spans="6:17">
      <c r="F110" s="705"/>
      <c r="G110" s="705"/>
      <c r="H110" s="705"/>
      <c r="I110" s="705"/>
      <c r="J110" s="705"/>
      <c r="K110" s="705"/>
      <c r="L110" s="705"/>
      <c r="M110" s="705"/>
      <c r="N110" s="705"/>
      <c r="O110" s="705"/>
      <c r="P110" s="705"/>
      <c r="Q110" s="705"/>
    </row>
    <row r="111" spans="6:17">
      <c r="F111" s="705"/>
      <c r="G111" s="705"/>
      <c r="H111" s="705"/>
      <c r="I111" s="705"/>
      <c r="J111" s="705"/>
      <c r="K111" s="705"/>
      <c r="L111" s="705"/>
      <c r="M111" s="705"/>
      <c r="N111" s="705"/>
      <c r="O111" s="705"/>
      <c r="P111" s="705"/>
      <c r="Q111" s="705"/>
    </row>
    <row r="112" spans="6:17">
      <c r="F112" s="705"/>
      <c r="G112" s="705"/>
      <c r="H112" s="705"/>
      <c r="I112" s="705"/>
      <c r="J112" s="705"/>
      <c r="K112" s="705"/>
      <c r="L112" s="705"/>
      <c r="M112" s="705"/>
      <c r="N112" s="705"/>
      <c r="O112" s="705"/>
      <c r="P112" s="705"/>
      <c r="Q112" s="705"/>
    </row>
    <row r="113" spans="6:17">
      <c r="F113" s="705"/>
      <c r="G113" s="705"/>
      <c r="H113" s="705"/>
      <c r="I113" s="705"/>
      <c r="J113" s="705"/>
      <c r="K113" s="705"/>
      <c r="L113" s="705"/>
      <c r="M113" s="705"/>
      <c r="N113" s="705"/>
      <c r="O113" s="705"/>
      <c r="P113" s="705"/>
      <c r="Q113" s="705"/>
    </row>
    <row r="114" spans="6:17">
      <c r="F114" s="705"/>
      <c r="G114" s="705"/>
      <c r="H114" s="705"/>
      <c r="I114" s="705"/>
      <c r="J114" s="705"/>
      <c r="K114" s="705"/>
      <c r="L114" s="705"/>
      <c r="M114" s="705"/>
      <c r="N114" s="705"/>
      <c r="O114" s="705"/>
      <c r="P114" s="705"/>
      <c r="Q114" s="705"/>
    </row>
    <row r="115" spans="6:17">
      <c r="F115" s="705"/>
      <c r="G115" s="705"/>
      <c r="H115" s="705"/>
      <c r="I115" s="705"/>
      <c r="J115" s="705"/>
      <c r="K115" s="705"/>
      <c r="L115" s="705"/>
      <c r="M115" s="705"/>
      <c r="N115" s="705"/>
      <c r="O115" s="705"/>
      <c r="P115" s="705"/>
      <c r="Q115" s="705"/>
    </row>
    <row r="116" spans="6:17">
      <c r="F116" s="705"/>
      <c r="G116" s="705"/>
      <c r="H116" s="705"/>
      <c r="I116" s="705"/>
      <c r="J116" s="705"/>
      <c r="K116" s="705"/>
      <c r="L116" s="705"/>
      <c r="M116" s="705"/>
      <c r="N116" s="705"/>
      <c r="O116" s="705"/>
      <c r="P116" s="705"/>
      <c r="Q116" s="705"/>
    </row>
    <row r="117" spans="6:17">
      <c r="F117" s="705"/>
      <c r="G117" s="705"/>
      <c r="H117" s="705"/>
      <c r="I117" s="705"/>
      <c r="J117" s="705"/>
      <c r="K117" s="705"/>
      <c r="L117" s="705"/>
      <c r="M117" s="705"/>
      <c r="N117" s="705"/>
      <c r="O117" s="705"/>
      <c r="P117" s="705"/>
      <c r="Q117" s="705"/>
    </row>
    <row r="118" spans="6:17">
      <c r="F118" s="705"/>
      <c r="G118" s="705"/>
      <c r="H118" s="705"/>
      <c r="I118" s="705"/>
      <c r="J118" s="705"/>
      <c r="K118" s="705"/>
      <c r="L118" s="705"/>
      <c r="M118" s="705"/>
      <c r="N118" s="705"/>
      <c r="O118" s="705"/>
      <c r="P118" s="705"/>
      <c r="Q118" s="705"/>
    </row>
    <row r="119" spans="6:17">
      <c r="F119" s="705"/>
      <c r="G119" s="705"/>
      <c r="H119" s="705"/>
      <c r="I119" s="705"/>
      <c r="J119" s="705"/>
      <c r="K119" s="705"/>
      <c r="L119" s="705"/>
      <c r="M119" s="705"/>
      <c r="N119" s="705"/>
      <c r="O119" s="705"/>
      <c r="P119" s="705"/>
      <c r="Q119" s="705"/>
    </row>
    <row r="120" spans="6:17">
      <c r="F120" s="705"/>
      <c r="G120" s="705"/>
      <c r="H120" s="705"/>
      <c r="I120" s="705"/>
      <c r="J120" s="705"/>
      <c r="K120" s="705"/>
      <c r="L120" s="705"/>
      <c r="M120" s="705"/>
      <c r="N120" s="705"/>
      <c r="O120" s="705"/>
      <c r="P120" s="705"/>
      <c r="Q120" s="705"/>
    </row>
    <row r="121" spans="6:17">
      <c r="F121" s="705"/>
      <c r="G121" s="705"/>
      <c r="H121" s="705"/>
      <c r="I121" s="705"/>
      <c r="J121" s="705"/>
      <c r="K121" s="705"/>
      <c r="L121" s="705"/>
      <c r="M121" s="705"/>
      <c r="N121" s="705"/>
      <c r="O121" s="705"/>
      <c r="P121" s="705"/>
      <c r="Q121" s="705"/>
    </row>
    <row r="122" spans="6:17">
      <c r="F122" s="705"/>
      <c r="G122" s="705"/>
      <c r="H122" s="705"/>
      <c r="I122" s="705"/>
      <c r="J122" s="705"/>
      <c r="K122" s="705"/>
      <c r="L122" s="705"/>
      <c r="M122" s="705"/>
      <c r="N122" s="705"/>
      <c r="O122" s="705"/>
      <c r="P122" s="705"/>
      <c r="Q122" s="705"/>
    </row>
    <row r="123" spans="6:17">
      <c r="F123" s="705"/>
      <c r="G123" s="705"/>
      <c r="H123" s="705"/>
      <c r="I123" s="705"/>
      <c r="J123" s="705"/>
      <c r="K123" s="705"/>
      <c r="L123" s="705"/>
      <c r="M123" s="705"/>
      <c r="N123" s="705"/>
      <c r="O123" s="705"/>
      <c r="P123" s="705"/>
      <c r="Q123" s="705"/>
    </row>
    <row r="124" spans="6:17">
      <c r="F124" s="705"/>
      <c r="G124" s="705"/>
      <c r="H124" s="705"/>
      <c r="I124" s="705"/>
      <c r="J124" s="705"/>
      <c r="K124" s="705"/>
      <c r="L124" s="705"/>
      <c r="M124" s="705"/>
      <c r="N124" s="705"/>
      <c r="O124" s="705"/>
      <c r="P124" s="705"/>
      <c r="Q124" s="705"/>
    </row>
    <row r="125" spans="6:17">
      <c r="F125" s="705"/>
      <c r="G125" s="705"/>
      <c r="H125" s="705"/>
      <c r="I125" s="705"/>
      <c r="J125" s="705"/>
      <c r="K125" s="705"/>
      <c r="L125" s="705"/>
      <c r="M125" s="705"/>
      <c r="N125" s="705"/>
      <c r="O125" s="705"/>
      <c r="P125" s="705"/>
      <c r="Q125" s="705"/>
    </row>
    <row r="126" spans="6:17">
      <c r="F126" s="705"/>
      <c r="G126" s="705"/>
      <c r="H126" s="705"/>
      <c r="I126" s="705"/>
      <c r="J126" s="705"/>
      <c r="K126" s="705"/>
      <c r="L126" s="705"/>
      <c r="M126" s="705"/>
      <c r="N126" s="705"/>
      <c r="O126" s="705"/>
      <c r="P126" s="705"/>
      <c r="Q126" s="705"/>
    </row>
  </sheetData>
  <mergeCells count="61">
    <mergeCell ref="J11:K11"/>
    <mergeCell ref="J9:K9"/>
    <mergeCell ref="J10:K10"/>
    <mergeCell ref="A23:Q23"/>
    <mergeCell ref="A24:I24"/>
    <mergeCell ref="N15:N17"/>
    <mergeCell ref="G16:I16"/>
    <mergeCell ref="O15:O17"/>
    <mergeCell ref="A78:Q78"/>
    <mergeCell ref="A81:Q81"/>
    <mergeCell ref="A82:Q82"/>
    <mergeCell ref="A84:Q84"/>
    <mergeCell ref="A85:Q85"/>
    <mergeCell ref="A35:I35"/>
    <mergeCell ref="A70:Q70"/>
    <mergeCell ref="A75:Q75"/>
    <mergeCell ref="A76:Q76"/>
    <mergeCell ref="A51:Q51"/>
    <mergeCell ref="A52:Q52"/>
    <mergeCell ref="A54:Q54"/>
    <mergeCell ref="A44:I44"/>
    <mergeCell ref="A45:I45"/>
    <mergeCell ref="A46:I46"/>
    <mergeCell ref="A47:I47"/>
    <mergeCell ref="A43:I43"/>
    <mergeCell ref="A62:Q62"/>
    <mergeCell ref="A67:Q67"/>
    <mergeCell ref="A68:Q68"/>
    <mergeCell ref="A55:Q55"/>
    <mergeCell ref="A59:Q59"/>
    <mergeCell ref="A60:Q60"/>
    <mergeCell ref="A41:I41"/>
    <mergeCell ref="A42:I42"/>
    <mergeCell ref="A26:I26"/>
    <mergeCell ref="A27:I27"/>
    <mergeCell ref="A28:I28"/>
    <mergeCell ref="A29:I29"/>
    <mergeCell ref="A30:I30"/>
    <mergeCell ref="A36:I36"/>
    <mergeCell ref="A37:I37"/>
    <mergeCell ref="A38:I38"/>
    <mergeCell ref="A39:I39"/>
    <mergeCell ref="A40:I40"/>
    <mergeCell ref="A31:I31"/>
    <mergeCell ref="A32:I32"/>
    <mergeCell ref="A33:I33"/>
    <mergeCell ref="A34:I34"/>
    <mergeCell ref="A25:I25"/>
    <mergeCell ref="A15:A17"/>
    <mergeCell ref="C15:C17"/>
    <mergeCell ref="D15:D17"/>
    <mergeCell ref="E15:E17"/>
    <mergeCell ref="B15:B17"/>
    <mergeCell ref="A19:Q19"/>
    <mergeCell ref="Q15:Q17"/>
    <mergeCell ref="J16:J17"/>
    <mergeCell ref="K16:M16"/>
    <mergeCell ref="J15:M15"/>
    <mergeCell ref="P15:P17"/>
    <mergeCell ref="F16:F17"/>
    <mergeCell ref="F15:I15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83"/>
  <sheetViews>
    <sheetView topLeftCell="A64" workbookViewId="0">
      <selection activeCell="J53" sqref="J53"/>
    </sheetView>
  </sheetViews>
  <sheetFormatPr defaultRowHeight="12.75"/>
  <cols>
    <col min="1" max="1" width="5.7109375" style="33" bestFit="1" customWidth="1"/>
    <col min="2" max="2" width="32" style="33" customWidth="1"/>
    <col min="3" max="3" width="12.42578125" style="33" customWidth="1"/>
    <col min="4" max="4" width="9.140625" style="33" customWidth="1"/>
    <col min="5" max="5" width="10" style="33" customWidth="1"/>
    <col min="6" max="16384" width="9.140625" style="33"/>
  </cols>
  <sheetData>
    <row r="1" spans="1:7">
      <c r="B1" s="21"/>
    </row>
    <row r="2" spans="1:7">
      <c r="B2" s="1251" t="s">
        <v>436</v>
      </c>
      <c r="C2" s="1252"/>
      <c r="D2" s="1252"/>
      <c r="E2" s="1252"/>
      <c r="F2" s="1252"/>
      <c r="G2" s="1252"/>
    </row>
    <row r="3" spans="1:7">
      <c r="B3" s="1251" t="s">
        <v>177</v>
      </c>
      <c r="C3" s="1253"/>
      <c r="D3" s="1253"/>
      <c r="E3" s="1253"/>
      <c r="F3" s="1253"/>
      <c r="G3" s="1253"/>
    </row>
    <row r="4" spans="1:7">
      <c r="B4" s="14" t="s">
        <v>167</v>
      </c>
    </row>
    <row r="5" spans="1:7">
      <c r="B5" s="14"/>
    </row>
    <row r="6" spans="1:7">
      <c r="B6" s="14"/>
      <c r="E6" s="33" t="s">
        <v>1</v>
      </c>
      <c r="F6" s="841">
        <f>ресурсы!D5</f>
        <v>72.260000000000005</v>
      </c>
      <c r="G6" s="33" t="s">
        <v>88</v>
      </c>
    </row>
    <row r="7" spans="1:7">
      <c r="B7" s="14"/>
      <c r="E7" s="33" t="s">
        <v>178</v>
      </c>
      <c r="F7" s="841">
        <f>ресурсы!D7</f>
        <v>72.260000000000005</v>
      </c>
      <c r="G7" s="33" t="s">
        <v>88</v>
      </c>
    </row>
    <row r="8" spans="1:7">
      <c r="B8" s="33" t="s">
        <v>86</v>
      </c>
    </row>
    <row r="9" spans="1:7">
      <c r="B9" s="33" t="s">
        <v>89</v>
      </c>
      <c r="F9" s="33" t="s">
        <v>179</v>
      </c>
    </row>
    <row r="10" spans="1:7">
      <c r="A10" s="1256" t="s">
        <v>26</v>
      </c>
      <c r="B10" s="1254" t="s">
        <v>180</v>
      </c>
      <c r="C10" s="1254" t="s">
        <v>94</v>
      </c>
      <c r="D10" s="22" t="s">
        <v>181</v>
      </c>
      <c r="E10" s="22" t="s">
        <v>96</v>
      </c>
      <c r="F10" s="22" t="s">
        <v>182</v>
      </c>
      <c r="G10" s="1254" t="s">
        <v>98</v>
      </c>
    </row>
    <row r="11" spans="1:7">
      <c r="A11" s="1258"/>
      <c r="B11" s="1255"/>
      <c r="C11" s="1255"/>
      <c r="D11" s="23" t="s">
        <v>150</v>
      </c>
      <c r="E11" s="23" t="s">
        <v>183</v>
      </c>
      <c r="F11" s="23"/>
      <c r="G11" s="1255"/>
    </row>
    <row r="12" spans="1:7" ht="17.25" customHeight="1">
      <c r="A12" s="1267">
        <v>1</v>
      </c>
      <c r="B12" s="502" t="s">
        <v>184</v>
      </c>
      <c r="C12" s="76" t="s">
        <v>185</v>
      </c>
      <c r="D12" s="23" t="s">
        <v>186</v>
      </c>
      <c r="E12" s="28">
        <f>E13*F7</f>
        <v>385.14580000000001</v>
      </c>
      <c r="F12" s="23">
        <v>1</v>
      </c>
      <c r="G12" s="1261">
        <f>E12*F12</f>
        <v>385.14580000000001</v>
      </c>
    </row>
    <row r="13" spans="1:7" ht="18" customHeight="1">
      <c r="A13" s="1269"/>
      <c r="B13" s="93" t="s">
        <v>187</v>
      </c>
      <c r="C13" s="23" t="s">
        <v>188</v>
      </c>
      <c r="D13" s="23">
        <v>4</v>
      </c>
      <c r="E13" s="23">
        <v>5.33</v>
      </c>
      <c r="F13" s="23"/>
      <c r="G13" s="1262"/>
    </row>
    <row r="14" spans="1:7">
      <c r="A14" s="1267">
        <v>2</v>
      </c>
      <c r="B14" s="93" t="s">
        <v>189</v>
      </c>
      <c r="C14" s="23" t="s">
        <v>190</v>
      </c>
      <c r="D14" s="23" t="s">
        <v>186</v>
      </c>
      <c r="E14" s="28">
        <f>E15*F6</f>
        <v>409.71420000000001</v>
      </c>
      <c r="F14" s="23">
        <v>1</v>
      </c>
      <c r="G14" s="1261">
        <f>E14*F14</f>
        <v>409.71420000000001</v>
      </c>
    </row>
    <row r="15" spans="1:7" ht="13.5" customHeight="1">
      <c r="A15" s="1269"/>
      <c r="B15" s="93" t="s">
        <v>191</v>
      </c>
      <c r="C15" s="23" t="s">
        <v>192</v>
      </c>
      <c r="D15" s="23">
        <v>2</v>
      </c>
      <c r="E15" s="23">
        <v>5.67</v>
      </c>
      <c r="F15" s="23"/>
      <c r="G15" s="1262"/>
    </row>
    <row r="16" spans="1:7">
      <c r="A16" s="1267">
        <v>3</v>
      </c>
      <c r="B16" s="1272" t="s">
        <v>193</v>
      </c>
      <c r="C16" s="23" t="s">
        <v>194</v>
      </c>
      <c r="D16" s="23" t="s">
        <v>195</v>
      </c>
      <c r="E16" s="23">
        <f>E17*F6</f>
        <v>166.19800000000001</v>
      </c>
      <c r="F16" s="23">
        <v>0.4</v>
      </c>
      <c r="G16" s="1261">
        <f>E16*F16</f>
        <v>66.479200000000006</v>
      </c>
    </row>
    <row r="17" spans="1:7">
      <c r="A17" s="1269"/>
      <c r="B17" s="1273"/>
      <c r="C17" s="23" t="s">
        <v>196</v>
      </c>
      <c r="D17" s="23">
        <v>2</v>
      </c>
      <c r="E17" s="23">
        <v>2.2999999999999998</v>
      </c>
      <c r="F17" s="23"/>
      <c r="G17" s="1262"/>
    </row>
    <row r="18" spans="1:7" ht="25.5">
      <c r="A18" s="1267">
        <v>4</v>
      </c>
      <c r="B18" s="94" t="s">
        <v>197</v>
      </c>
      <c r="C18" s="1270" t="s">
        <v>664</v>
      </c>
      <c r="D18" s="29"/>
      <c r="E18" s="29"/>
      <c r="F18" s="29"/>
      <c r="G18" s="77"/>
    </row>
    <row r="19" spans="1:7">
      <c r="A19" s="1268"/>
      <c r="B19" s="94" t="s">
        <v>198</v>
      </c>
      <c r="C19" s="1271"/>
      <c r="D19" s="29" t="s">
        <v>199</v>
      </c>
      <c r="E19" s="77">
        <f>ресурсы!D15</f>
        <v>485.24</v>
      </c>
      <c r="F19" s="29">
        <v>0.32</v>
      </c>
      <c r="G19" s="77">
        <f>E19*F19</f>
        <v>155.27680000000001</v>
      </c>
    </row>
    <row r="20" spans="1:7">
      <c r="A20" s="1268"/>
      <c r="B20" s="94" t="s">
        <v>200</v>
      </c>
      <c r="C20" s="1264"/>
      <c r="D20" s="81"/>
      <c r="E20" s="81"/>
      <c r="F20" s="81"/>
      <c r="G20" s="82"/>
    </row>
    <row r="21" spans="1:7">
      <c r="A21" s="1269"/>
      <c r="B21" s="94" t="s">
        <v>201</v>
      </c>
      <c r="C21" s="1264"/>
      <c r="D21" s="81"/>
      <c r="E21" s="81"/>
      <c r="F21" s="81"/>
      <c r="G21" s="82"/>
    </row>
    <row r="22" spans="1:7">
      <c r="A22" s="34"/>
      <c r="B22" s="13" t="s">
        <v>202</v>
      </c>
      <c r="C22" s="34">
        <v>100</v>
      </c>
      <c r="D22" s="34"/>
      <c r="E22" s="34"/>
      <c r="F22" s="34"/>
      <c r="G22" s="57">
        <f>SUM(G12:G21)</f>
        <v>1016.616</v>
      </c>
    </row>
    <row r="23" spans="1:7">
      <c r="A23" s="34"/>
      <c r="B23" s="13" t="s">
        <v>203</v>
      </c>
      <c r="C23" s="34"/>
      <c r="D23" s="34"/>
      <c r="E23" s="34"/>
      <c r="F23" s="34"/>
      <c r="G23" s="57">
        <f>G22/C22</f>
        <v>10.16616</v>
      </c>
    </row>
    <row r="24" spans="1:7">
      <c r="A24" s="34"/>
      <c r="B24" s="13" t="s">
        <v>117</v>
      </c>
      <c r="C24" s="34">
        <v>1.2</v>
      </c>
      <c r="D24" s="34"/>
      <c r="E24" s="34"/>
      <c r="F24" s="34"/>
      <c r="G24" s="57">
        <f>G23*C24</f>
        <v>12.199392</v>
      </c>
    </row>
    <row r="25" spans="1:7">
      <c r="A25" s="34"/>
      <c r="B25" s="13" t="s">
        <v>204</v>
      </c>
      <c r="C25" s="34">
        <v>1.08</v>
      </c>
      <c r="D25" s="34"/>
      <c r="E25" s="34"/>
      <c r="F25" s="34"/>
      <c r="G25" s="57">
        <f>G24*C25</f>
        <v>13.175343360000001</v>
      </c>
    </row>
    <row r="26" spans="1:7">
      <c r="A26" s="34"/>
      <c r="B26" s="13" t="s">
        <v>132</v>
      </c>
      <c r="C26" s="83">
        <v>1.18</v>
      </c>
      <c r="D26" s="34"/>
      <c r="E26" s="34"/>
      <c r="F26" s="34"/>
      <c r="G26" s="57">
        <f>G25*C26</f>
        <v>15.5469051648</v>
      </c>
    </row>
    <row r="29" spans="1:7">
      <c r="B29" s="1251" t="s">
        <v>437</v>
      </c>
      <c r="C29" s="1252"/>
      <c r="D29" s="1252"/>
      <c r="E29" s="1252"/>
      <c r="F29" s="1252"/>
      <c r="G29" s="1252"/>
    </row>
    <row r="30" spans="1:7">
      <c r="B30" s="1251" t="s">
        <v>839</v>
      </c>
      <c r="C30" s="1253"/>
      <c r="D30" s="1253"/>
      <c r="E30" s="1253"/>
      <c r="F30" s="1253"/>
      <c r="G30" s="1253"/>
    </row>
    <row r="31" spans="1:7">
      <c r="B31" s="14"/>
      <c r="C31" s="84"/>
      <c r="D31" s="84"/>
      <c r="E31" s="84"/>
      <c r="F31" s="84"/>
      <c r="G31" s="84"/>
    </row>
    <row r="32" spans="1:7">
      <c r="B32" s="14"/>
      <c r="C32" s="85"/>
      <c r="D32" s="85"/>
      <c r="E32" s="85"/>
      <c r="F32" s="85"/>
      <c r="G32" s="85"/>
    </row>
    <row r="33" spans="1:7">
      <c r="B33" s="14"/>
      <c r="C33" s="85"/>
      <c r="D33" s="85"/>
      <c r="E33" s="85" t="s">
        <v>1</v>
      </c>
      <c r="F33" s="841">
        <f>ресурсы!D5</f>
        <v>72.260000000000005</v>
      </c>
      <c r="G33" s="33" t="s">
        <v>88</v>
      </c>
    </row>
    <row r="34" spans="1:7">
      <c r="B34" s="33" t="s">
        <v>86</v>
      </c>
      <c r="C34" s="85"/>
      <c r="D34" s="85"/>
      <c r="E34" s="85" t="s">
        <v>2</v>
      </c>
      <c r="F34" s="841">
        <f>ресурсы!D6</f>
        <v>72.260000000000005</v>
      </c>
      <c r="G34" s="33" t="s">
        <v>88</v>
      </c>
    </row>
    <row r="35" spans="1:7">
      <c r="B35" s="33" t="s">
        <v>89</v>
      </c>
      <c r="F35" s="33" t="s">
        <v>206</v>
      </c>
    </row>
    <row r="36" spans="1:7">
      <c r="A36" s="1256" t="s">
        <v>26</v>
      </c>
      <c r="B36" s="1254" t="s">
        <v>207</v>
      </c>
      <c r="C36" s="1254" t="s">
        <v>94</v>
      </c>
      <c r="D36" s="22" t="s">
        <v>181</v>
      </c>
      <c r="E36" s="22" t="s">
        <v>96</v>
      </c>
      <c r="F36" s="22" t="s">
        <v>182</v>
      </c>
      <c r="G36" s="1254" t="s">
        <v>98</v>
      </c>
    </row>
    <row r="37" spans="1:7">
      <c r="A37" s="1258"/>
      <c r="B37" s="1255"/>
      <c r="C37" s="1255"/>
      <c r="D37" s="23" t="s">
        <v>150</v>
      </c>
      <c r="E37" s="23" t="s">
        <v>208</v>
      </c>
      <c r="F37" s="23"/>
      <c r="G37" s="1255"/>
    </row>
    <row r="38" spans="1:7">
      <c r="A38" s="1267">
        <v>1</v>
      </c>
      <c r="B38" s="30" t="s">
        <v>209</v>
      </c>
      <c r="C38" s="29" t="s">
        <v>210</v>
      </c>
      <c r="D38" s="29"/>
      <c r="E38" s="29"/>
      <c r="F38" s="29"/>
      <c r="G38" s="29"/>
    </row>
    <row r="39" spans="1:7" ht="12.75" customHeight="1">
      <c r="A39" s="1269"/>
      <c r="B39" s="27" t="s">
        <v>211</v>
      </c>
      <c r="C39" s="78"/>
      <c r="D39" s="23" t="s">
        <v>212</v>
      </c>
      <c r="E39" s="28">
        <f>E40*F33</f>
        <v>409.71420000000001</v>
      </c>
      <c r="F39" s="23">
        <v>1</v>
      </c>
      <c r="G39" s="28">
        <f>E39*F39</f>
        <v>409.71420000000001</v>
      </c>
    </row>
    <row r="40" spans="1:7">
      <c r="A40" s="34"/>
      <c r="B40" s="27" t="s">
        <v>213</v>
      </c>
      <c r="C40" s="23" t="s">
        <v>214</v>
      </c>
      <c r="D40" s="23" t="s">
        <v>215</v>
      </c>
      <c r="E40" s="23">
        <v>5.67</v>
      </c>
      <c r="F40" s="23"/>
      <c r="G40" s="28"/>
    </row>
    <row r="41" spans="1:7">
      <c r="A41" s="34">
        <v>2</v>
      </c>
      <c r="B41" s="1254" t="s">
        <v>216</v>
      </c>
      <c r="C41" s="23" t="s">
        <v>194</v>
      </c>
      <c r="D41" s="23" t="s">
        <v>195</v>
      </c>
      <c r="E41" s="23">
        <f>F33*E42</f>
        <v>166.19800000000001</v>
      </c>
      <c r="F41" s="23">
        <f>0.3*0.8</f>
        <v>0.24</v>
      </c>
      <c r="G41" s="1261">
        <f>E41*F41</f>
        <v>39.887520000000002</v>
      </c>
    </row>
    <row r="42" spans="1:7">
      <c r="A42" s="34"/>
      <c r="B42" s="1255"/>
      <c r="C42" s="23" t="s">
        <v>196</v>
      </c>
      <c r="D42" s="23">
        <v>2</v>
      </c>
      <c r="E42" s="23">
        <v>2.2999999999999998</v>
      </c>
      <c r="F42" s="23"/>
      <c r="G42" s="1262"/>
    </row>
    <row r="43" spans="1:7" ht="38.25">
      <c r="A43" s="34">
        <v>3</v>
      </c>
      <c r="B43" s="27" t="s">
        <v>217</v>
      </c>
      <c r="C43" s="29" t="s">
        <v>664</v>
      </c>
      <c r="D43" s="29" t="s">
        <v>199</v>
      </c>
      <c r="E43" s="77">
        <f>ресурсы!D15</f>
        <v>485.24</v>
      </c>
      <c r="F43" s="29">
        <f>F41*4/5</f>
        <v>0.192</v>
      </c>
      <c r="G43" s="77">
        <f>E43*F43</f>
        <v>93.166080000000008</v>
      </c>
    </row>
    <row r="44" spans="1:7">
      <c r="A44" s="34"/>
      <c r="B44" s="27" t="s">
        <v>218</v>
      </c>
      <c r="C44" s="24"/>
      <c r="D44" s="24"/>
      <c r="E44" s="24"/>
      <c r="F44" s="24"/>
      <c r="G44" s="32">
        <f>SUM(G38:G43)</f>
        <v>542.76779999999997</v>
      </c>
    </row>
    <row r="45" spans="1:7">
      <c r="A45" s="34"/>
      <c r="B45" s="24" t="s">
        <v>219</v>
      </c>
      <c r="C45" s="34">
        <v>100</v>
      </c>
      <c r="D45" s="24"/>
      <c r="E45" s="24"/>
      <c r="F45" s="24"/>
      <c r="G45" s="57">
        <f>G44/C45</f>
        <v>5.4276779999999993</v>
      </c>
    </row>
    <row r="46" spans="1:7">
      <c r="A46" s="34"/>
      <c r="B46" s="31" t="s">
        <v>117</v>
      </c>
      <c r="C46" s="34">
        <v>1.2</v>
      </c>
      <c r="D46" s="24"/>
      <c r="E46" s="24"/>
      <c r="F46" s="24"/>
      <c r="G46" s="57">
        <f>G45*C46</f>
        <v>6.5132135999999994</v>
      </c>
    </row>
    <row r="47" spans="1:7">
      <c r="A47" s="34"/>
      <c r="B47" s="31" t="s">
        <v>204</v>
      </c>
      <c r="C47" s="34">
        <v>1.08</v>
      </c>
      <c r="D47" s="34"/>
      <c r="E47" s="34"/>
      <c r="F47" s="34"/>
      <c r="G47" s="57">
        <f>G46*C47</f>
        <v>7.0342706879999994</v>
      </c>
    </row>
    <row r="48" spans="1:7">
      <c r="A48" s="34"/>
      <c r="B48" s="31" t="s">
        <v>132</v>
      </c>
      <c r="C48" s="83">
        <v>1.18</v>
      </c>
      <c r="D48" s="34"/>
      <c r="E48" s="34"/>
      <c r="F48" s="34"/>
      <c r="G48" s="57">
        <f>G47*C48</f>
        <v>8.3004394118399993</v>
      </c>
    </row>
    <row r="51" spans="1:7">
      <c r="B51" s="1251" t="s">
        <v>438</v>
      </c>
      <c r="C51" s="1252"/>
      <c r="D51" s="1252"/>
      <c r="E51" s="1252"/>
      <c r="F51" s="1252"/>
      <c r="G51" s="1252"/>
    </row>
    <row r="52" spans="1:7">
      <c r="B52" s="1251" t="s">
        <v>220</v>
      </c>
      <c r="C52" s="1253"/>
      <c r="D52" s="1253"/>
      <c r="E52" s="1253"/>
      <c r="F52" s="1253"/>
      <c r="G52" s="1253"/>
    </row>
    <row r="53" spans="1:7">
      <c r="B53" s="14" t="s">
        <v>167</v>
      </c>
    </row>
    <row r="54" spans="1:7">
      <c r="B54" s="14"/>
      <c r="E54" s="33" t="s">
        <v>1</v>
      </c>
      <c r="F54" s="841">
        <f>ресурсы!D5</f>
        <v>72.260000000000005</v>
      </c>
      <c r="G54" s="33" t="s">
        <v>88</v>
      </c>
    </row>
    <row r="55" spans="1:7">
      <c r="B55" s="33" t="s">
        <v>86</v>
      </c>
      <c r="E55" s="33" t="s">
        <v>2</v>
      </c>
      <c r="F55" s="841">
        <f>ресурсы!D6</f>
        <v>72.260000000000005</v>
      </c>
      <c r="G55" s="33" t="s">
        <v>88</v>
      </c>
    </row>
    <row r="56" spans="1:7">
      <c r="B56" s="33" t="s">
        <v>89</v>
      </c>
      <c r="F56" s="33" t="s">
        <v>221</v>
      </c>
    </row>
    <row r="57" spans="1:7">
      <c r="A57" s="1256" t="s">
        <v>26</v>
      </c>
      <c r="B57" s="1254" t="s">
        <v>180</v>
      </c>
      <c r="C57" s="1254" t="s">
        <v>94</v>
      </c>
      <c r="D57" s="22" t="s">
        <v>181</v>
      </c>
      <c r="E57" s="22" t="s">
        <v>96</v>
      </c>
      <c r="F57" s="22"/>
      <c r="G57" s="1254" t="s">
        <v>222</v>
      </c>
    </row>
    <row r="58" spans="1:7">
      <c r="A58" s="1258"/>
      <c r="B58" s="1255"/>
      <c r="C58" s="1255"/>
      <c r="D58" s="23" t="s">
        <v>150</v>
      </c>
      <c r="E58" s="23" t="s">
        <v>183</v>
      </c>
      <c r="F58" s="23"/>
      <c r="G58" s="1255"/>
    </row>
    <row r="59" spans="1:7">
      <c r="A59" s="1265">
        <v>1</v>
      </c>
      <c r="B59" s="27" t="s">
        <v>223</v>
      </c>
      <c r="C59" s="78" t="s">
        <v>224</v>
      </c>
      <c r="D59" s="23" t="s">
        <v>225</v>
      </c>
      <c r="E59" s="28">
        <f>E60*F55</f>
        <v>159.69460000000001</v>
      </c>
      <c r="F59" s="23">
        <v>1</v>
      </c>
      <c r="G59" s="1261">
        <f>E59*F59</f>
        <v>159.69460000000001</v>
      </c>
    </row>
    <row r="60" spans="1:7">
      <c r="A60" s="1266"/>
      <c r="B60" s="27" t="s">
        <v>226</v>
      </c>
      <c r="C60" s="23" t="s">
        <v>227</v>
      </c>
      <c r="D60" s="23">
        <v>3</v>
      </c>
      <c r="E60" s="23">
        <v>2.21</v>
      </c>
      <c r="F60" s="23"/>
      <c r="G60" s="1262"/>
    </row>
    <row r="61" spans="1:7">
      <c r="A61" s="1265">
        <v>2</v>
      </c>
      <c r="B61" s="27" t="s">
        <v>189</v>
      </c>
      <c r="C61" s="23" t="s">
        <v>190</v>
      </c>
      <c r="D61" s="23" t="s">
        <v>186</v>
      </c>
      <c r="E61" s="28">
        <f>E62*F54</f>
        <v>409.71420000000001</v>
      </c>
      <c r="F61" s="23">
        <v>1</v>
      </c>
      <c r="G61" s="1261">
        <f>E61*F61</f>
        <v>409.71420000000001</v>
      </c>
    </row>
    <row r="62" spans="1:7">
      <c r="A62" s="1266"/>
      <c r="B62" s="27" t="s">
        <v>191</v>
      </c>
      <c r="C62" s="23" t="s">
        <v>192</v>
      </c>
      <c r="D62" s="23">
        <v>2</v>
      </c>
      <c r="E62" s="23">
        <v>5.67</v>
      </c>
      <c r="F62" s="23"/>
      <c r="G62" s="1262"/>
    </row>
    <row r="63" spans="1:7" ht="25.5">
      <c r="A63" s="1259">
        <v>3</v>
      </c>
      <c r="B63" s="27" t="s">
        <v>228</v>
      </c>
      <c r="C63" s="23" t="s">
        <v>194</v>
      </c>
      <c r="D63" s="23" t="s">
        <v>195</v>
      </c>
      <c r="E63" s="23">
        <f>E64*F54</f>
        <v>166.19800000000001</v>
      </c>
      <c r="F63" s="23">
        <v>0.4</v>
      </c>
      <c r="G63" s="1261">
        <f>E63*F63</f>
        <v>66.479200000000006</v>
      </c>
    </row>
    <row r="64" spans="1:7">
      <c r="A64" s="1260"/>
      <c r="B64" s="27" t="s">
        <v>229</v>
      </c>
      <c r="C64" s="23" t="s">
        <v>196</v>
      </c>
      <c r="D64" s="23">
        <v>2</v>
      </c>
      <c r="E64" s="23">
        <v>2.2999999999999998</v>
      </c>
      <c r="F64" s="23"/>
      <c r="G64" s="1262"/>
    </row>
    <row r="65" spans="1:17" ht="25.5">
      <c r="A65" s="1259">
        <v>4</v>
      </c>
      <c r="B65" s="30" t="s">
        <v>230</v>
      </c>
      <c r="C65" s="1254" t="s">
        <v>664</v>
      </c>
      <c r="D65" s="29"/>
      <c r="E65" s="79">
        <f>ресурсы!D15</f>
        <v>485.24</v>
      </c>
      <c r="F65" s="29"/>
      <c r="G65" s="77"/>
    </row>
    <row r="66" spans="1:17">
      <c r="A66" s="1263"/>
      <c r="B66" s="30" t="s">
        <v>200</v>
      </c>
      <c r="C66" s="1264"/>
      <c r="D66" s="29" t="s">
        <v>199</v>
      </c>
      <c r="E66" s="86"/>
      <c r="F66" s="29">
        <v>0.32</v>
      </c>
      <c r="G66" s="77">
        <f>E65*F66</f>
        <v>155.27680000000001</v>
      </c>
    </row>
    <row r="67" spans="1:17">
      <c r="A67" s="1260"/>
      <c r="B67" s="30"/>
      <c r="C67" s="1264"/>
      <c r="D67" s="81"/>
      <c r="E67" s="86"/>
      <c r="F67" s="81"/>
      <c r="G67" s="82"/>
    </row>
    <row r="68" spans="1:17" ht="25.5">
      <c r="A68" s="87">
        <v>5</v>
      </c>
      <c r="B68" s="31" t="s">
        <v>231</v>
      </c>
      <c r="C68" s="1256" t="s">
        <v>232</v>
      </c>
      <c r="D68" s="34" t="s">
        <v>233</v>
      </c>
      <c r="E68" s="88">
        <f>ресурсы!D22</f>
        <v>10.72</v>
      </c>
      <c r="F68" s="34">
        <v>0.7</v>
      </c>
      <c r="G68" s="57">
        <f>E68*F68</f>
        <v>7.5039999999999996</v>
      </c>
    </row>
    <row r="69" spans="1:17">
      <c r="A69" s="87"/>
      <c r="B69" s="31" t="s">
        <v>234</v>
      </c>
      <c r="C69" s="1257"/>
      <c r="D69" s="34" t="s">
        <v>233</v>
      </c>
      <c r="E69" s="88">
        <f>ресурсы!D20</f>
        <v>19.07</v>
      </c>
      <c r="F69" s="34">
        <v>0.7</v>
      </c>
      <c r="G69" s="57">
        <f>E69*F69</f>
        <v>13.349</v>
      </c>
    </row>
    <row r="70" spans="1:17">
      <c r="A70" s="87"/>
      <c r="B70" s="80" t="s">
        <v>235</v>
      </c>
      <c r="C70" s="1258"/>
      <c r="D70" s="89" t="s">
        <v>233</v>
      </c>
      <c r="E70" s="90">
        <f>ресурсы!D21</f>
        <v>26.69</v>
      </c>
      <c r="F70" s="89">
        <v>0.8</v>
      </c>
      <c r="G70" s="91">
        <f>E70*F70</f>
        <v>21.352000000000004</v>
      </c>
    </row>
    <row r="71" spans="1:17">
      <c r="A71" s="34"/>
      <c r="B71" s="31" t="s">
        <v>236</v>
      </c>
      <c r="C71" s="34">
        <v>100</v>
      </c>
      <c r="D71" s="34"/>
      <c r="E71" s="92"/>
      <c r="F71" s="34"/>
      <c r="G71" s="57">
        <f>SUM(G59:G70)</f>
        <v>833.36980000000005</v>
      </c>
    </row>
    <row r="72" spans="1:17">
      <c r="A72" s="34"/>
      <c r="B72" s="31" t="s">
        <v>237</v>
      </c>
      <c r="C72" s="34"/>
      <c r="D72" s="34"/>
      <c r="E72" s="92"/>
      <c r="F72" s="34"/>
      <c r="G72" s="57">
        <f>G71/C71</f>
        <v>8.3336980000000001</v>
      </c>
    </row>
    <row r="73" spans="1:17">
      <c r="A73" s="34"/>
      <c r="B73" s="31" t="s">
        <v>117</v>
      </c>
      <c r="C73" s="34">
        <v>1.2</v>
      </c>
      <c r="D73" s="34"/>
      <c r="E73" s="92"/>
      <c r="F73" s="34"/>
      <c r="G73" s="57">
        <f>G72*C73</f>
        <v>10.0004376</v>
      </c>
    </row>
    <row r="74" spans="1:17">
      <c r="A74" s="34"/>
      <c r="B74" s="31" t="s">
        <v>204</v>
      </c>
      <c r="C74" s="34">
        <v>1.08</v>
      </c>
      <c r="D74" s="34"/>
      <c r="E74" s="92"/>
      <c r="F74" s="34"/>
      <c r="G74" s="57">
        <f>G73*C74</f>
        <v>10.800472608</v>
      </c>
    </row>
    <row r="75" spans="1:17">
      <c r="A75" s="34"/>
      <c r="B75" s="31" t="s">
        <v>238</v>
      </c>
      <c r="C75" s="83">
        <v>1.18</v>
      </c>
      <c r="D75" s="34"/>
      <c r="E75" s="34"/>
      <c r="F75" s="34"/>
      <c r="G75" s="57">
        <f>G74*C75</f>
        <v>12.74455767744</v>
      </c>
      <c r="H75" s="841"/>
    </row>
    <row r="80" spans="1:17" s="490" customFormat="1" ht="15">
      <c r="A80" s="1195" t="s">
        <v>781</v>
      </c>
      <c r="B80" s="1196"/>
      <c r="C80" s="1196"/>
      <c r="D80" s="1196"/>
      <c r="E80" s="1196"/>
      <c r="F80" s="1196"/>
      <c r="G80" s="1196"/>
      <c r="H80" s="1196"/>
      <c r="I80" s="1196"/>
      <c r="J80" s="1196"/>
      <c r="K80" s="1196"/>
      <c r="L80" s="1196"/>
      <c r="M80" s="1196"/>
      <c r="N80" s="1196"/>
      <c r="O80" s="1196"/>
      <c r="P80" s="1196"/>
      <c r="Q80" s="1196"/>
    </row>
    <row r="81" spans="2:9" ht="15">
      <c r="B81" s="192"/>
      <c r="C81" s="192"/>
      <c r="D81" s="192"/>
      <c r="E81" s="192"/>
      <c r="F81" s="192"/>
      <c r="G81" s="195"/>
      <c r="H81" s="195"/>
      <c r="I81" s="195"/>
    </row>
    <row r="82" spans="2:9" ht="15">
      <c r="B82" s="192"/>
      <c r="C82" s="192"/>
      <c r="D82" s="192"/>
      <c r="E82" s="192"/>
      <c r="F82" s="192"/>
      <c r="G82" s="195"/>
      <c r="H82" s="195"/>
      <c r="I82" s="195"/>
    </row>
    <row r="83" spans="2:9" ht="15">
      <c r="B83" s="192" t="s">
        <v>545</v>
      </c>
      <c r="C83" s="192"/>
      <c r="D83" s="1164"/>
      <c r="E83" s="1164"/>
      <c r="F83" s="1164"/>
      <c r="G83" s="1164"/>
      <c r="H83" s="1164"/>
      <c r="I83" s="1164"/>
    </row>
  </sheetData>
  <mergeCells count="41">
    <mergeCell ref="A61:A62"/>
    <mergeCell ref="G61:G62"/>
    <mergeCell ref="A12:A13"/>
    <mergeCell ref="G12:G13"/>
    <mergeCell ref="A14:A15"/>
    <mergeCell ref="G14:G15"/>
    <mergeCell ref="A57:A58"/>
    <mergeCell ref="B57:B58"/>
    <mergeCell ref="C57:C58"/>
    <mergeCell ref="G57:G58"/>
    <mergeCell ref="A38:A39"/>
    <mergeCell ref="B41:B42"/>
    <mergeCell ref="G41:G42"/>
    <mergeCell ref="B51:G51"/>
    <mergeCell ref="A16:A17"/>
    <mergeCell ref="B16:B17"/>
    <mergeCell ref="G16:G17"/>
    <mergeCell ref="A18:A21"/>
    <mergeCell ref="C18:C21"/>
    <mergeCell ref="B2:G2"/>
    <mergeCell ref="B3:G3"/>
    <mergeCell ref="A10:A11"/>
    <mergeCell ref="B10:B11"/>
    <mergeCell ref="C10:C11"/>
    <mergeCell ref="G10:G11"/>
    <mergeCell ref="D83:I83"/>
    <mergeCell ref="B29:G29"/>
    <mergeCell ref="B30:G30"/>
    <mergeCell ref="B36:B37"/>
    <mergeCell ref="C36:C37"/>
    <mergeCell ref="G36:G37"/>
    <mergeCell ref="B52:G52"/>
    <mergeCell ref="C68:C70"/>
    <mergeCell ref="A80:Q80"/>
    <mergeCell ref="A36:A37"/>
    <mergeCell ref="A63:A64"/>
    <mergeCell ref="G63:G64"/>
    <mergeCell ref="A65:A67"/>
    <mergeCell ref="C65:C67"/>
    <mergeCell ref="A59:A60"/>
    <mergeCell ref="G59:G60"/>
  </mergeCells>
  <phoneticPr fontId="18" type="noConversion"/>
  <pageMargins left="0" right="0" top="0" bottom="0" header="0.31496062992125984" footer="0.31496062992125984"/>
  <pageSetup paperSize="9" scale="5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Q113"/>
  <sheetViews>
    <sheetView workbookViewId="0">
      <selection activeCell="J27" sqref="J27"/>
    </sheetView>
  </sheetViews>
  <sheetFormatPr defaultRowHeight="12.75"/>
  <cols>
    <col min="1" max="1" width="5.5703125" style="38" customWidth="1"/>
    <col min="2" max="2" width="34.85546875" style="38" customWidth="1"/>
    <col min="3" max="3" width="11.5703125" style="38" customWidth="1"/>
    <col min="4" max="5" width="9.140625" style="38"/>
    <col min="6" max="6" width="10" style="38" bestFit="1" customWidth="1"/>
    <col min="7" max="7" width="9.42578125" style="38" customWidth="1"/>
    <col min="8" max="16384" width="9.140625" style="38"/>
  </cols>
  <sheetData>
    <row r="1" spans="1:7">
      <c r="A1" s="15"/>
      <c r="B1" s="1284" t="s">
        <v>439</v>
      </c>
      <c r="C1" s="1284"/>
      <c r="D1" s="1284"/>
      <c r="E1" s="1284"/>
      <c r="F1" s="1284"/>
      <c r="G1" s="1284"/>
    </row>
    <row r="2" spans="1:7">
      <c r="A2" s="15"/>
      <c r="B2" s="1284" t="s">
        <v>239</v>
      </c>
      <c r="C2" s="1284"/>
      <c r="D2" s="1284"/>
      <c r="E2" s="1284"/>
      <c r="F2" s="1284"/>
      <c r="G2" s="1284"/>
    </row>
    <row r="3" spans="1:7">
      <c r="A3" s="15"/>
      <c r="B3" s="1284" t="s">
        <v>240</v>
      </c>
      <c r="C3" s="1284"/>
      <c r="D3" s="1284"/>
      <c r="E3" s="1284"/>
      <c r="F3" s="1284"/>
      <c r="G3" s="1171"/>
    </row>
    <row r="4" spans="1:7">
      <c r="A4" s="15"/>
      <c r="B4" s="15"/>
      <c r="C4" s="15"/>
      <c r="D4" s="15"/>
      <c r="E4" s="15"/>
      <c r="F4" s="15"/>
      <c r="G4" s="15"/>
    </row>
    <row r="5" spans="1:7">
      <c r="A5" s="15"/>
      <c r="B5" s="15" t="s">
        <v>86</v>
      </c>
      <c r="C5" s="15"/>
      <c r="D5" s="15"/>
      <c r="E5" s="95" t="s">
        <v>1</v>
      </c>
      <c r="F5" s="910">
        <f>ресурсы!D5</f>
        <v>72.260000000000005</v>
      </c>
      <c r="G5" s="15" t="s">
        <v>88</v>
      </c>
    </row>
    <row r="6" spans="1:7">
      <c r="A6" s="15"/>
      <c r="B6" s="15" t="s">
        <v>89</v>
      </c>
      <c r="C6" s="15"/>
      <c r="D6" s="15"/>
      <c r="E6" s="95" t="s">
        <v>178</v>
      </c>
      <c r="F6" s="910">
        <f>ресурсы!D7</f>
        <v>72.260000000000005</v>
      </c>
      <c r="G6" s="15" t="s">
        <v>88</v>
      </c>
    </row>
    <row r="7" spans="1:7">
      <c r="A7" s="15"/>
      <c r="B7" s="15"/>
      <c r="C7" s="15"/>
      <c r="D7" s="15"/>
      <c r="E7" s="15"/>
      <c r="F7" s="15" t="s">
        <v>241</v>
      </c>
    </row>
    <row r="8" spans="1:7">
      <c r="A8" s="1229" t="s">
        <v>26</v>
      </c>
      <c r="B8" s="1229" t="s">
        <v>242</v>
      </c>
      <c r="C8" s="1229" t="s">
        <v>94</v>
      </c>
      <c r="D8" s="96" t="s">
        <v>243</v>
      </c>
      <c r="E8" s="96" t="s">
        <v>96</v>
      </c>
      <c r="F8" s="96" t="s">
        <v>182</v>
      </c>
      <c r="G8" s="1229" t="s">
        <v>244</v>
      </c>
    </row>
    <row r="9" spans="1:7">
      <c r="A9" s="1230"/>
      <c r="B9" s="1230"/>
      <c r="C9" s="1230"/>
      <c r="D9" s="97" t="s">
        <v>150</v>
      </c>
      <c r="E9" s="97" t="s">
        <v>245</v>
      </c>
      <c r="F9" s="97"/>
      <c r="G9" s="1230"/>
    </row>
    <row r="10" spans="1:7" ht="25.5">
      <c r="A10" s="1274">
        <v>1</v>
      </c>
      <c r="B10" s="5" t="s">
        <v>246</v>
      </c>
      <c r="C10" s="5" t="s">
        <v>247</v>
      </c>
      <c r="D10" s="20" t="s">
        <v>90</v>
      </c>
      <c r="E10" s="98">
        <f>E11*F6</f>
        <v>179.20480000000001</v>
      </c>
      <c r="F10" s="20">
        <v>2</v>
      </c>
      <c r="G10" s="99">
        <f>E10*F10</f>
        <v>358.40960000000001</v>
      </c>
    </row>
    <row r="11" spans="1:7" ht="25.5">
      <c r="A11" s="1275"/>
      <c r="B11" s="906" t="s">
        <v>958</v>
      </c>
      <c r="C11" s="5" t="s">
        <v>248</v>
      </c>
      <c r="D11" s="5">
        <v>4</v>
      </c>
      <c r="E11" s="5">
        <v>2.48</v>
      </c>
      <c r="F11" s="100">
        <f>E11*F10</f>
        <v>4.96</v>
      </c>
      <c r="G11" s="101"/>
    </row>
    <row r="12" spans="1:7">
      <c r="A12" s="1274">
        <v>2</v>
      </c>
      <c r="B12" s="1229" t="s">
        <v>674</v>
      </c>
      <c r="C12" s="97" t="s">
        <v>249</v>
      </c>
      <c r="D12" s="97" t="s">
        <v>212</v>
      </c>
      <c r="E12" s="102">
        <f>E13*F5</f>
        <v>522.4398000000001</v>
      </c>
      <c r="F12" s="97">
        <v>3</v>
      </c>
      <c r="G12" s="1277">
        <f>E12*F12</f>
        <v>1567.3194000000003</v>
      </c>
    </row>
    <row r="13" spans="1:7" ht="14.25" customHeight="1">
      <c r="A13" s="1275"/>
      <c r="B13" s="1230"/>
      <c r="C13" s="97" t="s">
        <v>250</v>
      </c>
      <c r="D13" s="97">
        <v>2</v>
      </c>
      <c r="E13" s="97">
        <v>7.23</v>
      </c>
      <c r="F13" s="103"/>
      <c r="G13" s="1278"/>
    </row>
    <row r="14" spans="1:7">
      <c r="A14" s="1274">
        <v>3</v>
      </c>
      <c r="B14" s="1229" t="s">
        <v>251</v>
      </c>
      <c r="C14" s="97" t="s">
        <v>252</v>
      </c>
      <c r="D14" s="97" t="s">
        <v>253</v>
      </c>
      <c r="E14" s="102">
        <f>E15*F5</f>
        <v>166.19800000000001</v>
      </c>
      <c r="F14" s="97">
        <f>100*0.2*0.4/100</f>
        <v>0.08</v>
      </c>
      <c r="G14" s="1277">
        <f xml:space="preserve"> E14*F14</f>
        <v>13.29584</v>
      </c>
    </row>
    <row r="15" spans="1:7" ht="27" customHeight="1">
      <c r="A15" s="1275"/>
      <c r="B15" s="1276"/>
      <c r="C15" s="104" t="s">
        <v>254</v>
      </c>
      <c r="D15" s="104">
        <v>2</v>
      </c>
      <c r="E15" s="104">
        <v>2.2999999999999998</v>
      </c>
      <c r="F15" s="104"/>
      <c r="G15" s="1278"/>
    </row>
    <row r="16" spans="1:7" ht="25.5">
      <c r="A16" s="105">
        <v>4</v>
      </c>
      <c r="B16" s="17" t="s">
        <v>255</v>
      </c>
      <c r="C16" s="16" t="s">
        <v>430</v>
      </c>
      <c r="D16" s="16" t="s">
        <v>199</v>
      </c>
      <c r="E16" s="16">
        <f>ресурсы!D15</f>
        <v>485.24</v>
      </c>
      <c r="F16" s="106">
        <f>F14*4/5</f>
        <v>6.4000000000000001E-2</v>
      </c>
      <c r="G16" s="99">
        <f>E16*F16</f>
        <v>31.05536</v>
      </c>
    </row>
    <row r="17" spans="1:7" ht="15" customHeight="1">
      <c r="A17" s="1282" t="s">
        <v>256</v>
      </c>
      <c r="B17" s="1283"/>
      <c r="C17" s="105"/>
      <c r="D17" s="105"/>
      <c r="E17" s="105"/>
      <c r="F17" s="105"/>
      <c r="G17" s="107">
        <f>SUM(G10:G16)</f>
        <v>1970.0802000000003</v>
      </c>
    </row>
    <row r="18" spans="1:7">
      <c r="A18" s="105"/>
      <c r="B18" s="105" t="s">
        <v>172</v>
      </c>
      <c r="C18" s="105">
        <v>1.2</v>
      </c>
      <c r="D18" s="105"/>
      <c r="E18" s="105"/>
      <c r="F18" s="105"/>
      <c r="G18" s="107">
        <f>G17*C18</f>
        <v>2364.0962400000003</v>
      </c>
    </row>
    <row r="19" spans="1:7">
      <c r="A19" s="105"/>
      <c r="B19" s="105" t="s">
        <v>257</v>
      </c>
      <c r="C19" s="105">
        <v>1.08</v>
      </c>
      <c r="D19" s="105"/>
      <c r="E19" s="105"/>
      <c r="F19" s="105"/>
      <c r="G19" s="107">
        <f>G18*C19</f>
        <v>2553.2239392000006</v>
      </c>
    </row>
    <row r="20" spans="1:7">
      <c r="A20" s="47"/>
      <c r="B20" s="43" t="s">
        <v>132</v>
      </c>
      <c r="C20" s="47">
        <v>1.18</v>
      </c>
      <c r="D20" s="47"/>
      <c r="E20" s="43"/>
      <c r="F20" s="43"/>
      <c r="G20" s="46">
        <f>G19*C20</f>
        <v>3012.8042482560004</v>
      </c>
    </row>
    <row r="24" spans="1:7">
      <c r="A24" s="15"/>
      <c r="B24" s="1284" t="s">
        <v>440</v>
      </c>
      <c r="C24" s="1284"/>
      <c r="D24" s="1284"/>
      <c r="E24" s="1284"/>
      <c r="F24" s="1284"/>
      <c r="G24" s="15"/>
    </row>
    <row r="25" spans="1:7">
      <c r="A25" s="1284" t="s">
        <v>258</v>
      </c>
      <c r="B25" s="1284"/>
      <c r="C25" s="1284"/>
      <c r="D25" s="1284"/>
      <c r="E25" s="1284"/>
      <c r="F25" s="1284"/>
      <c r="G25" s="1284"/>
    </row>
    <row r="26" spans="1:7">
      <c r="A26" s="15"/>
      <c r="B26" s="1284" t="s">
        <v>259</v>
      </c>
      <c r="C26" s="1284"/>
      <c r="D26" s="1284"/>
      <c r="E26" s="1284"/>
      <c r="F26" s="1284"/>
      <c r="G26" s="15"/>
    </row>
    <row r="27" spans="1:7">
      <c r="A27" s="15"/>
      <c r="B27" s="15"/>
      <c r="C27" s="15"/>
      <c r="D27" s="15"/>
      <c r="E27" s="15"/>
      <c r="F27" s="15"/>
      <c r="G27" s="15"/>
    </row>
    <row r="28" spans="1:7">
      <c r="A28" s="15"/>
      <c r="B28" s="15"/>
      <c r="C28" s="15"/>
      <c r="D28" s="15"/>
      <c r="E28" s="40" t="s">
        <v>1</v>
      </c>
      <c r="F28" s="910">
        <f>ресурсы!D5</f>
        <v>72.260000000000005</v>
      </c>
      <c r="G28" s="15" t="s">
        <v>88</v>
      </c>
    </row>
    <row r="29" spans="1:7">
      <c r="A29" s="38" t="s">
        <v>86</v>
      </c>
      <c r="C29" s="15"/>
      <c r="D29" s="15"/>
      <c r="E29" s="40" t="s">
        <v>178</v>
      </c>
      <c r="F29" s="910">
        <f>ресурсы!D7</f>
        <v>72.260000000000005</v>
      </c>
      <c r="G29" s="15" t="s">
        <v>88</v>
      </c>
    </row>
    <row r="30" spans="1:7">
      <c r="B30" s="38" t="s">
        <v>89</v>
      </c>
      <c r="C30" s="15"/>
      <c r="D30" s="15"/>
      <c r="E30" s="15"/>
      <c r="F30" s="15" t="s">
        <v>443</v>
      </c>
    </row>
    <row r="31" spans="1:7">
      <c r="A31" s="1229" t="s">
        <v>26</v>
      </c>
      <c r="B31" s="1229" t="s">
        <v>260</v>
      </c>
      <c r="C31" s="1229" t="s">
        <v>94</v>
      </c>
      <c r="D31" s="96" t="s">
        <v>243</v>
      </c>
      <c r="E31" s="96" t="s">
        <v>96</v>
      </c>
      <c r="F31" s="96" t="s">
        <v>182</v>
      </c>
      <c r="G31" s="1229" t="s">
        <v>98</v>
      </c>
    </row>
    <row r="32" spans="1:7">
      <c r="A32" s="1230"/>
      <c r="B32" s="1279"/>
      <c r="C32" s="1279"/>
      <c r="D32" s="97" t="s">
        <v>150</v>
      </c>
      <c r="E32" s="104" t="s">
        <v>183</v>
      </c>
      <c r="F32" s="104"/>
      <c r="G32" s="1279"/>
    </row>
    <row r="33" spans="1:7">
      <c r="A33" s="108">
        <v>1</v>
      </c>
      <c r="B33" s="1220" t="s">
        <v>261</v>
      </c>
      <c r="C33" s="16" t="s">
        <v>262</v>
      </c>
      <c r="D33" s="109" t="s">
        <v>263</v>
      </c>
      <c r="E33" s="110">
        <f>E34*F29</f>
        <v>486.30980000000005</v>
      </c>
      <c r="F33" s="111">
        <v>1</v>
      </c>
      <c r="G33" s="99">
        <f>E33*F33</f>
        <v>486.30980000000005</v>
      </c>
    </row>
    <row r="34" spans="1:7">
      <c r="A34" s="112"/>
      <c r="B34" s="1280"/>
      <c r="C34" s="18" t="s">
        <v>264</v>
      </c>
      <c r="D34" s="109">
        <v>4</v>
      </c>
      <c r="E34" s="113">
        <v>6.73</v>
      </c>
      <c r="F34" s="113"/>
      <c r="G34" s="101"/>
    </row>
    <row r="35" spans="1:7">
      <c r="A35" s="108">
        <v>2</v>
      </c>
      <c r="B35" s="1220" t="s">
        <v>265</v>
      </c>
      <c r="C35" s="97" t="s">
        <v>266</v>
      </c>
      <c r="D35" s="97" t="s">
        <v>212</v>
      </c>
      <c r="E35" s="102">
        <f>E36*F28</f>
        <v>522.4398000000001</v>
      </c>
      <c r="F35" s="97">
        <v>0</v>
      </c>
      <c r="G35" s="1277">
        <f>E35*F35</f>
        <v>0</v>
      </c>
    </row>
    <row r="36" spans="1:7">
      <c r="A36" s="112"/>
      <c r="B36" s="1280"/>
      <c r="C36" s="97" t="s">
        <v>267</v>
      </c>
      <c r="D36" s="97">
        <v>2</v>
      </c>
      <c r="E36" s="97">
        <v>7.23</v>
      </c>
      <c r="F36" s="97"/>
      <c r="G36" s="1281"/>
    </row>
    <row r="37" spans="1:7" ht="25.5">
      <c r="A37" s="108">
        <v>3</v>
      </c>
      <c r="B37" s="118" t="s">
        <v>268</v>
      </c>
      <c r="C37" s="97" t="s">
        <v>269</v>
      </c>
      <c r="D37" s="97" t="s">
        <v>270</v>
      </c>
      <c r="E37" s="102">
        <f>E38*F28</f>
        <v>166.19800000000001</v>
      </c>
      <c r="F37" s="97">
        <v>0.42</v>
      </c>
      <c r="G37" s="1277">
        <f>E37*F37</f>
        <v>69.803160000000005</v>
      </c>
    </row>
    <row r="38" spans="1:7">
      <c r="A38" s="114"/>
      <c r="B38" s="119" t="s">
        <v>271</v>
      </c>
      <c r="C38" s="16" t="s">
        <v>272</v>
      </c>
      <c r="D38" s="16" t="s">
        <v>273</v>
      </c>
      <c r="E38" s="16">
        <v>2.2999999999999998</v>
      </c>
      <c r="F38" s="16"/>
      <c r="G38" s="1279"/>
    </row>
    <row r="39" spans="1:7">
      <c r="A39" s="112"/>
      <c r="B39" s="905" t="s">
        <v>956</v>
      </c>
      <c r="C39" s="18"/>
      <c r="D39" s="18"/>
      <c r="E39" s="115"/>
      <c r="F39" s="18"/>
      <c r="G39" s="1230"/>
    </row>
    <row r="40" spans="1:7" ht="25.5">
      <c r="A40" s="116">
        <v>4</v>
      </c>
      <c r="B40" s="11" t="s">
        <v>274</v>
      </c>
      <c r="C40" s="5" t="s">
        <v>430</v>
      </c>
      <c r="D40" s="19" t="s">
        <v>275</v>
      </c>
      <c r="E40" s="5">
        <f>ресурсы!D15</f>
        <v>485.24</v>
      </c>
      <c r="F40" s="19">
        <f>F37*4/5</f>
        <v>0.33599999999999997</v>
      </c>
      <c r="G40" s="117">
        <f>E40*F40</f>
        <v>163.04064</v>
      </c>
    </row>
    <row r="41" spans="1:7">
      <c r="A41" s="105"/>
      <c r="B41" s="9" t="s">
        <v>256</v>
      </c>
      <c r="C41" s="105"/>
      <c r="D41" s="105"/>
      <c r="E41" s="105"/>
      <c r="F41" s="105"/>
      <c r="G41" s="107">
        <f>SUM(G33:G40)</f>
        <v>719.1536000000001</v>
      </c>
    </row>
    <row r="42" spans="1:7">
      <c r="A42" s="105"/>
      <c r="B42" s="9" t="s">
        <v>172</v>
      </c>
      <c r="C42" s="105">
        <v>1.2</v>
      </c>
      <c r="D42" s="105"/>
      <c r="E42" s="105"/>
      <c r="F42" s="105"/>
      <c r="G42" s="107">
        <f>G41*C42</f>
        <v>862.98432000000014</v>
      </c>
    </row>
    <row r="43" spans="1:7">
      <c r="A43" s="105"/>
      <c r="B43" s="9" t="s">
        <v>257</v>
      </c>
      <c r="C43" s="105">
        <v>1.08</v>
      </c>
      <c r="D43" s="105"/>
      <c r="E43" s="105"/>
      <c r="F43" s="105"/>
      <c r="G43" s="107">
        <f>G42*C43</f>
        <v>932.02306560000022</v>
      </c>
    </row>
    <row r="44" spans="1:7">
      <c r="A44" s="47"/>
      <c r="B44" s="50" t="s">
        <v>132</v>
      </c>
      <c r="C44" s="47">
        <v>1.18</v>
      </c>
      <c r="D44" s="47"/>
      <c r="E44" s="43"/>
      <c r="F44" s="43"/>
      <c r="G44" s="46">
        <f>G43*C44</f>
        <v>1099.7872174080003</v>
      </c>
    </row>
    <row r="49" spans="1:9" ht="15">
      <c r="B49" s="192" t="s">
        <v>544</v>
      </c>
      <c r="C49" s="192"/>
      <c r="D49" s="1164" t="s">
        <v>641</v>
      </c>
      <c r="E49" s="1164"/>
      <c r="F49" s="1164"/>
      <c r="G49" s="1164"/>
      <c r="H49" s="1164"/>
      <c r="I49" s="1164"/>
    </row>
    <row r="50" spans="1:9" ht="15">
      <c r="B50" s="192"/>
      <c r="C50" s="192"/>
      <c r="D50" s="192"/>
      <c r="E50" s="192"/>
      <c r="F50" s="192"/>
      <c r="G50" s="195"/>
      <c r="H50" s="195"/>
      <c r="I50" s="195"/>
    </row>
    <row r="51" spans="1:9" ht="15">
      <c r="B51" s="192"/>
      <c r="C51" s="192"/>
      <c r="D51" s="192"/>
      <c r="E51" s="192"/>
      <c r="F51" s="192"/>
      <c r="G51" s="195"/>
      <c r="H51" s="195"/>
      <c r="I51" s="195"/>
    </row>
    <row r="52" spans="1:9" ht="15">
      <c r="B52" s="192" t="s">
        <v>545</v>
      </c>
      <c r="C52" s="192"/>
      <c r="D52" s="1164"/>
      <c r="E52" s="1164"/>
      <c r="F52" s="1164"/>
      <c r="G52" s="1164"/>
      <c r="H52" s="1164"/>
      <c r="I52" s="1164"/>
    </row>
    <row r="58" spans="1:9" ht="15">
      <c r="A58" s="355"/>
      <c r="B58" s="1251" t="s">
        <v>684</v>
      </c>
      <c r="C58" s="1289"/>
      <c r="D58" s="1289"/>
      <c r="E58" s="1289"/>
      <c r="F58" s="1289"/>
      <c r="G58" s="1289"/>
    </row>
    <row r="59" spans="1:9" ht="15">
      <c r="A59" s="355"/>
      <c r="B59" s="1251" t="s">
        <v>667</v>
      </c>
      <c r="C59" s="1253"/>
      <c r="D59" s="1253"/>
      <c r="E59" s="1253"/>
      <c r="F59" s="1253"/>
      <c r="G59" s="1253"/>
    </row>
    <row r="60" spans="1:9" ht="15">
      <c r="A60" s="355"/>
      <c r="B60" s="1251" t="s">
        <v>668</v>
      </c>
      <c r="C60" s="1253"/>
      <c r="D60" s="1253"/>
      <c r="E60" s="1253"/>
      <c r="F60" s="1253"/>
      <c r="G60" s="1253"/>
    </row>
    <row r="61" spans="1:9" ht="15">
      <c r="A61" s="355"/>
      <c r="B61" s="14"/>
      <c r="C61" s="379"/>
      <c r="D61" s="379"/>
      <c r="E61" s="379"/>
      <c r="F61" s="379"/>
      <c r="G61" s="379"/>
    </row>
    <row r="62" spans="1:9" ht="15">
      <c r="A62" s="380"/>
      <c r="B62" s="381"/>
      <c r="C62" s="380"/>
      <c r="D62" s="380"/>
      <c r="E62" s="382" t="s">
        <v>1</v>
      </c>
      <c r="F62" s="383">
        <f>ресурсы!D5</f>
        <v>72.260000000000005</v>
      </c>
      <c r="G62" s="380" t="s">
        <v>88</v>
      </c>
    </row>
    <row r="63" spans="1:9" ht="15">
      <c r="A63" s="380"/>
      <c r="B63" s="380" t="s">
        <v>86</v>
      </c>
      <c r="C63" s="380"/>
      <c r="D63" s="380"/>
      <c r="E63" s="382" t="s">
        <v>178</v>
      </c>
      <c r="F63" s="383">
        <f>ресурсы!D7</f>
        <v>72.260000000000005</v>
      </c>
      <c r="G63" s="380" t="s">
        <v>88</v>
      </c>
    </row>
    <row r="64" spans="1:9" ht="15">
      <c r="A64" s="380"/>
      <c r="B64" s="380" t="s">
        <v>89</v>
      </c>
      <c r="C64" s="380"/>
      <c r="D64" s="380"/>
      <c r="E64" s="380"/>
      <c r="F64" s="380" t="s">
        <v>241</v>
      </c>
      <c r="G64" s="355"/>
    </row>
    <row r="65" spans="1:9">
      <c r="A65" s="1290" t="s">
        <v>26</v>
      </c>
      <c r="B65" s="1254" t="s">
        <v>669</v>
      </c>
      <c r="C65" s="1254" t="s">
        <v>94</v>
      </c>
      <c r="D65" s="22" t="s">
        <v>243</v>
      </c>
      <c r="E65" s="22" t="s">
        <v>96</v>
      </c>
      <c r="F65" s="22" t="s">
        <v>182</v>
      </c>
      <c r="G65" s="1254" t="s">
        <v>98</v>
      </c>
    </row>
    <row r="66" spans="1:9">
      <c r="A66" s="1291"/>
      <c r="B66" s="1255"/>
      <c r="C66" s="1255"/>
      <c r="D66" s="23" t="s">
        <v>150</v>
      </c>
      <c r="E66" s="23" t="s">
        <v>245</v>
      </c>
      <c r="F66" s="23" t="s">
        <v>670</v>
      </c>
      <c r="G66" s="1255"/>
    </row>
    <row r="67" spans="1:9">
      <c r="A67" s="1285">
        <v>1</v>
      </c>
      <c r="B67" s="27" t="s">
        <v>671</v>
      </c>
      <c r="C67" s="23" t="s">
        <v>247</v>
      </c>
      <c r="D67" s="23" t="s">
        <v>672</v>
      </c>
      <c r="E67" s="28">
        <f>E68*F63</f>
        <v>192.21160000000003</v>
      </c>
      <c r="F67" s="23">
        <v>1</v>
      </c>
      <c r="G67" s="1287">
        <f>E67*F67</f>
        <v>192.21160000000003</v>
      </c>
    </row>
    <row r="68" spans="1:9" ht="25.5">
      <c r="A68" s="1292"/>
      <c r="B68" s="908" t="s">
        <v>957</v>
      </c>
      <c r="C68" s="360" t="s">
        <v>673</v>
      </c>
      <c r="D68" s="360">
        <v>4</v>
      </c>
      <c r="E68" s="360">
        <v>2.66</v>
      </c>
      <c r="F68" s="384"/>
      <c r="G68" s="1293"/>
    </row>
    <row r="69" spans="1:9">
      <c r="A69" s="1285">
        <v>2</v>
      </c>
      <c r="B69" s="1254" t="s">
        <v>674</v>
      </c>
      <c r="C69" s="24" t="s">
        <v>249</v>
      </c>
      <c r="D69" s="25" t="s">
        <v>675</v>
      </c>
      <c r="E69" s="26">
        <f>E70*F62</f>
        <v>409.71420000000001</v>
      </c>
      <c r="F69" s="25">
        <v>0</v>
      </c>
      <c r="G69" s="1287">
        <f>E69*F69</f>
        <v>0</v>
      </c>
    </row>
    <row r="70" spans="1:9">
      <c r="A70" s="1286"/>
      <c r="B70" s="1255"/>
      <c r="C70" s="27" t="s">
        <v>214</v>
      </c>
      <c r="D70" s="23">
        <v>2</v>
      </c>
      <c r="E70" s="23">
        <v>5.67</v>
      </c>
      <c r="F70" s="385"/>
      <c r="G70" s="1288"/>
    </row>
    <row r="71" spans="1:9">
      <c r="A71" s="1285">
        <v>3</v>
      </c>
      <c r="B71" s="27" t="s">
        <v>676</v>
      </c>
      <c r="C71" s="23" t="s">
        <v>252</v>
      </c>
      <c r="D71" s="23" t="s">
        <v>253</v>
      </c>
      <c r="E71" s="28">
        <f>E72*F62</f>
        <v>166.19800000000001</v>
      </c>
      <c r="F71" s="23">
        <v>0.14000000000000001</v>
      </c>
      <c r="G71" s="1287">
        <f>E71*F71</f>
        <v>23.267720000000004</v>
      </c>
    </row>
    <row r="72" spans="1:9">
      <c r="A72" s="1286"/>
      <c r="B72" s="27" t="s">
        <v>677</v>
      </c>
      <c r="C72" s="23" t="s">
        <v>678</v>
      </c>
      <c r="D72" s="23">
        <v>2</v>
      </c>
      <c r="E72" s="23">
        <v>2.2999999999999998</v>
      </c>
      <c r="F72" s="385"/>
      <c r="G72" s="1288"/>
    </row>
    <row r="73" spans="1:9" ht="25.5">
      <c r="A73" s="356">
        <v>4</v>
      </c>
      <c r="B73" s="30" t="s">
        <v>679</v>
      </c>
      <c r="C73" s="360" t="s">
        <v>664</v>
      </c>
      <c r="D73" s="360" t="s">
        <v>275</v>
      </c>
      <c r="E73" s="386">
        <f>ресурсы!D15</f>
        <v>485.24</v>
      </c>
      <c r="F73" s="360">
        <v>0.11200000000000002</v>
      </c>
      <c r="G73" s="363">
        <f>E73*F73</f>
        <v>54.346880000000006</v>
      </c>
    </row>
    <row r="74" spans="1:9" ht="15">
      <c r="A74" s="356"/>
      <c r="B74" s="387" t="s">
        <v>256</v>
      </c>
      <c r="C74" s="356"/>
      <c r="D74" s="356"/>
      <c r="E74" s="356"/>
      <c r="F74" s="388"/>
      <c r="G74" s="389">
        <f>G73+G71+G69+G67</f>
        <v>269.82620000000003</v>
      </c>
    </row>
    <row r="75" spans="1:9" ht="15">
      <c r="A75" s="356"/>
      <c r="B75" s="31" t="s">
        <v>680</v>
      </c>
      <c r="C75" s="356">
        <v>1.2</v>
      </c>
      <c r="D75" s="356"/>
      <c r="E75" s="356"/>
      <c r="F75" s="356"/>
      <c r="G75" s="389">
        <f>G74*C75</f>
        <v>323.79144000000002</v>
      </c>
    </row>
    <row r="76" spans="1:9" ht="15">
      <c r="A76" s="356"/>
      <c r="B76" s="31" t="s">
        <v>681</v>
      </c>
      <c r="C76" s="356">
        <v>1.08</v>
      </c>
      <c r="D76" s="356"/>
      <c r="E76" s="356"/>
      <c r="F76" s="356"/>
      <c r="G76" s="389">
        <f>G75*C76</f>
        <v>349.69475520000003</v>
      </c>
    </row>
    <row r="77" spans="1:9" ht="15">
      <c r="A77" s="356"/>
      <c r="B77" s="390" t="s">
        <v>132</v>
      </c>
      <c r="C77" s="356">
        <v>1.18</v>
      </c>
      <c r="D77" s="356"/>
      <c r="E77" s="390"/>
      <c r="F77" s="390"/>
      <c r="G77" s="391">
        <f>G76*C77</f>
        <v>412.63981113599999</v>
      </c>
    </row>
    <row r="79" spans="1:9" ht="3" customHeight="1"/>
    <row r="80" spans="1:9" hidden="1">
      <c r="B80" s="398"/>
      <c r="C80" s="398"/>
      <c r="D80" s="1294"/>
      <c r="E80" s="1294"/>
      <c r="F80" s="1294"/>
      <c r="G80" s="1294"/>
      <c r="H80" s="1294"/>
      <c r="I80" s="1294"/>
    </row>
    <row r="81" spans="1:9" hidden="1">
      <c r="B81" s="398"/>
      <c r="C81" s="398"/>
      <c r="D81" s="398"/>
      <c r="E81" s="398"/>
      <c r="F81" s="398"/>
      <c r="G81" s="195"/>
      <c r="H81" s="195"/>
      <c r="I81" s="195"/>
    </row>
    <row r="82" spans="1:9" hidden="1">
      <c r="B82" s="398"/>
      <c r="C82" s="398"/>
      <c r="D82" s="398"/>
      <c r="E82" s="398"/>
      <c r="F82" s="398"/>
      <c r="G82" s="195"/>
      <c r="H82" s="195"/>
      <c r="I82" s="195"/>
    </row>
    <row r="83" spans="1:9" hidden="1">
      <c r="B83" s="398"/>
      <c r="C83" s="398"/>
      <c r="D83" s="1294"/>
      <c r="E83" s="1294"/>
      <c r="F83" s="1294"/>
      <c r="G83" s="1294"/>
      <c r="H83" s="1294"/>
      <c r="I83" s="1294"/>
    </row>
    <row r="84" spans="1:9" hidden="1"/>
    <row r="85" spans="1:9" hidden="1"/>
    <row r="86" spans="1:9" ht="15" hidden="1">
      <c r="A86"/>
      <c r="B86"/>
      <c r="C86"/>
      <c r="D86"/>
      <c r="E86"/>
      <c r="F86"/>
      <c r="G86"/>
    </row>
    <row r="87" spans="1:9" ht="15">
      <c r="A87"/>
      <c r="B87"/>
      <c r="C87"/>
      <c r="D87"/>
      <c r="E87"/>
      <c r="F87"/>
      <c r="G87"/>
    </row>
    <row r="88" spans="1:9">
      <c r="A88" s="330"/>
      <c r="B88" s="1251" t="s">
        <v>706</v>
      </c>
      <c r="C88" s="1253"/>
      <c r="D88" s="1253"/>
      <c r="E88" s="1253"/>
      <c r="F88" s="1253"/>
      <c r="G88" s="1253"/>
    </row>
    <row r="89" spans="1:9">
      <c r="A89" s="330"/>
      <c r="B89" s="330"/>
      <c r="C89" s="14" t="s">
        <v>689</v>
      </c>
      <c r="D89" s="330"/>
      <c r="E89" s="330"/>
      <c r="F89" s="330"/>
      <c r="G89" s="330"/>
    </row>
    <row r="90" spans="1:9">
      <c r="A90" s="330"/>
      <c r="B90" s="330"/>
      <c r="C90" s="14" t="s">
        <v>690</v>
      </c>
      <c r="D90" s="330"/>
      <c r="E90" s="330"/>
      <c r="F90" s="330"/>
      <c r="G90" s="330"/>
    </row>
    <row r="91" spans="1:9">
      <c r="A91" s="330"/>
      <c r="B91" s="14"/>
      <c r="C91" s="330"/>
      <c r="D91" s="330"/>
      <c r="E91" s="330"/>
      <c r="F91" s="330"/>
      <c r="G91" s="330"/>
    </row>
    <row r="92" spans="1:9">
      <c r="A92" s="330"/>
      <c r="B92" s="21"/>
      <c r="C92" s="330"/>
      <c r="D92" s="330"/>
      <c r="E92" s="393" t="s">
        <v>1</v>
      </c>
      <c r="F92" s="343">
        <f>ресурсы!D5</f>
        <v>72.260000000000005</v>
      </c>
      <c r="G92" s="330" t="s">
        <v>88</v>
      </c>
    </row>
    <row r="93" spans="1:9">
      <c r="A93" s="330"/>
      <c r="B93" s="330" t="s">
        <v>86</v>
      </c>
      <c r="C93" s="330"/>
      <c r="D93" s="330"/>
      <c r="E93" s="393" t="s">
        <v>178</v>
      </c>
      <c r="F93" s="343">
        <f>ресурсы!D7</f>
        <v>72.260000000000005</v>
      </c>
      <c r="G93" s="330" t="s">
        <v>88</v>
      </c>
    </row>
    <row r="94" spans="1:9">
      <c r="A94" s="330"/>
      <c r="B94" s="330" t="s">
        <v>89</v>
      </c>
      <c r="C94" s="330"/>
      <c r="D94" s="330"/>
      <c r="E94" s="330"/>
      <c r="F94" s="330"/>
      <c r="G94" s="330" t="s">
        <v>263</v>
      </c>
    </row>
    <row r="95" spans="1:9">
      <c r="A95" s="1295" t="s">
        <v>26</v>
      </c>
      <c r="B95" s="1254" t="s">
        <v>669</v>
      </c>
      <c r="C95" s="1254" t="s">
        <v>94</v>
      </c>
      <c r="D95" s="22" t="s">
        <v>243</v>
      </c>
      <c r="E95" s="22" t="s">
        <v>96</v>
      </c>
      <c r="F95" s="22" t="s">
        <v>182</v>
      </c>
      <c r="G95" s="1254" t="s">
        <v>98</v>
      </c>
    </row>
    <row r="96" spans="1:9">
      <c r="A96" s="1296"/>
      <c r="B96" s="1255"/>
      <c r="C96" s="1255"/>
      <c r="D96" s="23" t="s">
        <v>150</v>
      </c>
      <c r="E96" s="23" t="s">
        <v>245</v>
      </c>
      <c r="F96" s="23"/>
      <c r="G96" s="1255"/>
    </row>
    <row r="97" spans="1:17" ht="25.5">
      <c r="A97" s="1297">
        <v>1</v>
      </c>
      <c r="B97" s="360" t="s">
        <v>246</v>
      </c>
      <c r="C97" s="360" t="s">
        <v>262</v>
      </c>
      <c r="D97" s="23" t="s">
        <v>90</v>
      </c>
      <c r="E97" s="28">
        <f>F93*E98</f>
        <v>179.20480000000001</v>
      </c>
      <c r="F97" s="23">
        <v>2</v>
      </c>
      <c r="G97" s="363">
        <f>E97*F97</f>
        <v>358.40960000000001</v>
      </c>
    </row>
    <row r="98" spans="1:17" ht="25.5">
      <c r="A98" s="1298"/>
      <c r="B98" s="907" t="s">
        <v>959</v>
      </c>
      <c r="C98" s="27" t="s">
        <v>691</v>
      </c>
      <c r="D98" s="24">
        <v>4</v>
      </c>
      <c r="E98" s="24">
        <v>2.48</v>
      </c>
      <c r="F98" s="394">
        <v>7.4</v>
      </c>
      <c r="G98" s="364"/>
    </row>
    <row r="99" spans="1:17" ht="25.5">
      <c r="A99" s="1297">
        <v>2</v>
      </c>
      <c r="B99" s="361" t="s">
        <v>692</v>
      </c>
      <c r="C99" s="361" t="s">
        <v>693</v>
      </c>
      <c r="D99" s="23" t="s">
        <v>212</v>
      </c>
      <c r="E99" s="28">
        <f>F92*E100</f>
        <v>409.71420000000001</v>
      </c>
      <c r="F99" s="23">
        <v>3</v>
      </c>
      <c r="G99" s="363">
        <f>F99*E99</f>
        <v>1229.1426000000001</v>
      </c>
    </row>
    <row r="100" spans="1:17">
      <c r="A100" s="1298"/>
      <c r="B100" s="27" t="s">
        <v>697</v>
      </c>
      <c r="C100" s="27" t="s">
        <v>214</v>
      </c>
      <c r="D100" s="23">
        <v>2</v>
      </c>
      <c r="E100" s="23">
        <v>5.67</v>
      </c>
      <c r="F100" s="385"/>
      <c r="G100" s="364"/>
    </row>
    <row r="101" spans="1:17">
      <c r="A101" s="1297">
        <v>3</v>
      </c>
      <c r="B101" s="360" t="s">
        <v>676</v>
      </c>
      <c r="C101" s="1300" t="s">
        <v>694</v>
      </c>
      <c r="D101" s="23" t="s">
        <v>253</v>
      </c>
      <c r="E101" s="28">
        <f>E102*F92</f>
        <v>166.19800000000001</v>
      </c>
      <c r="F101" s="23">
        <v>0.35</v>
      </c>
      <c r="G101" s="363">
        <f>E101*F101</f>
        <v>58.1693</v>
      </c>
    </row>
    <row r="102" spans="1:17" ht="25.5">
      <c r="A102" s="1299"/>
      <c r="B102" s="30" t="s">
        <v>695</v>
      </c>
      <c r="C102" s="1301"/>
      <c r="D102" s="23">
        <v>2</v>
      </c>
      <c r="E102" s="23">
        <v>2.2999999999999998</v>
      </c>
      <c r="F102" s="23"/>
      <c r="G102" s="365"/>
    </row>
    <row r="103" spans="1:17" ht="25.5">
      <c r="A103" s="339">
        <v>4</v>
      </c>
      <c r="B103" s="24" t="s">
        <v>696</v>
      </c>
      <c r="C103" s="341" t="s">
        <v>664</v>
      </c>
      <c r="D103" s="24" t="s">
        <v>275</v>
      </c>
      <c r="E103" s="24">
        <f>ресурсы!D15</f>
        <v>485.24</v>
      </c>
      <c r="F103" s="24">
        <v>0.27999999999999997</v>
      </c>
      <c r="G103" s="366">
        <f>E103*F103</f>
        <v>135.8672</v>
      </c>
    </row>
    <row r="104" spans="1:17">
      <c r="A104" s="339"/>
      <c r="B104" s="31" t="s">
        <v>256</v>
      </c>
      <c r="C104" s="339"/>
      <c r="D104" s="339"/>
      <c r="E104" s="339"/>
      <c r="F104" s="339"/>
      <c r="G104" s="395">
        <f>G103+G101+G99+G98+G97</f>
        <v>1781.5887</v>
      </c>
      <c r="H104" s="125">
        <f>G97</f>
        <v>358.40960000000001</v>
      </c>
    </row>
    <row r="105" spans="1:17">
      <c r="A105" s="339"/>
      <c r="B105" s="13" t="s">
        <v>172</v>
      </c>
      <c r="C105" s="339">
        <v>1.2</v>
      </c>
      <c r="D105" s="339"/>
      <c r="E105" s="339"/>
      <c r="F105" s="339"/>
      <c r="G105" s="395">
        <f>C105*G104</f>
        <v>2137.9064399999997</v>
      </c>
      <c r="H105" s="38">
        <f>H104*C105</f>
        <v>430.09152</v>
      </c>
    </row>
    <row r="106" spans="1:17">
      <c r="A106" s="339"/>
      <c r="B106" s="13" t="s">
        <v>257</v>
      </c>
      <c r="C106" s="339">
        <v>1.08</v>
      </c>
      <c r="D106" s="339"/>
      <c r="E106" s="339"/>
      <c r="F106" s="339"/>
      <c r="G106" s="395">
        <f>G105*C106</f>
        <v>2308.9389551999998</v>
      </c>
      <c r="H106" s="38">
        <f>H105*C106</f>
        <v>464.49884160000005</v>
      </c>
    </row>
    <row r="107" spans="1:17">
      <c r="A107" s="310"/>
      <c r="B107" s="396" t="s">
        <v>119</v>
      </c>
      <c r="C107" s="310">
        <v>1.18</v>
      </c>
      <c r="D107" s="310"/>
      <c r="E107" s="396"/>
      <c r="F107" s="396"/>
      <c r="G107" s="397">
        <f>G106*C107</f>
        <v>2724.5479671359994</v>
      </c>
      <c r="H107" s="38">
        <f>H106*C107</f>
        <v>548.10863308800003</v>
      </c>
    </row>
    <row r="108" spans="1:17" ht="15">
      <c r="A108"/>
      <c r="B108"/>
      <c r="C108"/>
      <c r="D108"/>
      <c r="E108"/>
      <c r="F108"/>
      <c r="G108"/>
      <c r="H108" s="38">
        <f>H107*2</f>
        <v>1096.2172661760001</v>
      </c>
      <c r="I108" s="38">
        <f>H108*8.68</f>
        <v>9515.1658704076799</v>
      </c>
    </row>
    <row r="109" spans="1:17" s="438" customFormat="1" ht="15">
      <c r="A109"/>
      <c r="B109"/>
      <c r="C109"/>
      <c r="D109"/>
      <c r="E109"/>
      <c r="F109"/>
      <c r="G109"/>
      <c r="H109" s="438" t="e">
        <f>H108*#REF!</f>
        <v>#REF!</v>
      </c>
    </row>
    <row r="110" spans="1:17" s="490" customFormat="1" ht="15">
      <c r="A110" s="1195" t="s">
        <v>781</v>
      </c>
      <c r="B110" s="1196"/>
      <c r="C110" s="1196"/>
      <c r="D110" s="1196"/>
      <c r="E110" s="1196"/>
      <c r="F110" s="1196"/>
      <c r="G110" s="1196"/>
      <c r="H110" s="1196"/>
      <c r="I110" s="1196"/>
      <c r="J110" s="1196"/>
      <c r="K110" s="1196"/>
      <c r="L110" s="1196"/>
      <c r="M110" s="1196"/>
      <c r="N110" s="1196"/>
      <c r="O110" s="1196"/>
      <c r="P110" s="1196"/>
      <c r="Q110" s="1196"/>
    </row>
    <row r="111" spans="1:17">
      <c r="B111" s="398"/>
      <c r="C111" s="398"/>
      <c r="D111" s="398"/>
      <c r="E111" s="398"/>
      <c r="F111" s="398"/>
      <c r="G111" s="195"/>
      <c r="H111" s="195"/>
      <c r="I111" s="195"/>
    </row>
    <row r="112" spans="1:17">
      <c r="B112" s="398"/>
      <c r="C112" s="398"/>
      <c r="D112" s="398"/>
      <c r="E112" s="398"/>
      <c r="F112" s="398"/>
      <c r="G112" s="195"/>
      <c r="H112" s="195"/>
      <c r="I112" s="195"/>
    </row>
    <row r="113" spans="2:9">
      <c r="B113" s="398" t="s">
        <v>545</v>
      </c>
      <c r="C113" s="398"/>
      <c r="D113" s="1294"/>
      <c r="E113" s="1294"/>
      <c r="F113" s="1294"/>
      <c r="G113" s="1294"/>
      <c r="H113" s="1294"/>
      <c r="I113" s="1294"/>
    </row>
  </sheetData>
  <mergeCells count="55">
    <mergeCell ref="D113:I113"/>
    <mergeCell ref="A97:A98"/>
    <mergeCell ref="A99:A100"/>
    <mergeCell ref="A101:A102"/>
    <mergeCell ref="C101:C102"/>
    <mergeCell ref="D80:I80"/>
    <mergeCell ref="D83:I83"/>
    <mergeCell ref="B88:G88"/>
    <mergeCell ref="A95:A96"/>
    <mergeCell ref="B95:B96"/>
    <mergeCell ref="C95:C96"/>
    <mergeCell ref="G95:G96"/>
    <mergeCell ref="A71:A72"/>
    <mergeCell ref="G71:G72"/>
    <mergeCell ref="B58:G58"/>
    <mergeCell ref="B59:G59"/>
    <mergeCell ref="B60:G60"/>
    <mergeCell ref="A65:A66"/>
    <mergeCell ref="B65:B66"/>
    <mergeCell ref="C65:C66"/>
    <mergeCell ref="G65:G66"/>
    <mergeCell ref="A67:A68"/>
    <mergeCell ref="G67:G68"/>
    <mergeCell ref="A69:A70"/>
    <mergeCell ref="B69:B70"/>
    <mergeCell ref="G69:G70"/>
    <mergeCell ref="B1:G1"/>
    <mergeCell ref="B2:G2"/>
    <mergeCell ref="B3:G3"/>
    <mergeCell ref="B26:F26"/>
    <mergeCell ref="B8:B9"/>
    <mergeCell ref="C8:C9"/>
    <mergeCell ref="G8:G9"/>
    <mergeCell ref="A10:A11"/>
    <mergeCell ref="A12:A13"/>
    <mergeCell ref="B12:B13"/>
    <mergeCell ref="B24:F24"/>
    <mergeCell ref="A25:G25"/>
    <mergeCell ref="G12:G13"/>
    <mergeCell ref="A8:A9"/>
    <mergeCell ref="A110:Q110"/>
    <mergeCell ref="D49:I49"/>
    <mergeCell ref="D52:I52"/>
    <mergeCell ref="A14:A15"/>
    <mergeCell ref="B14:B15"/>
    <mergeCell ref="G14:G15"/>
    <mergeCell ref="G37:G39"/>
    <mergeCell ref="B35:B36"/>
    <mergeCell ref="G35:G36"/>
    <mergeCell ref="B31:B32"/>
    <mergeCell ref="C31:C32"/>
    <mergeCell ref="G31:G32"/>
    <mergeCell ref="B33:B34"/>
    <mergeCell ref="A31:A32"/>
    <mergeCell ref="A17:B17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57"/>
  <sheetViews>
    <sheetView workbookViewId="0">
      <selection activeCell="F174" sqref="F174:F176"/>
    </sheetView>
  </sheetViews>
  <sheetFormatPr defaultRowHeight="12.75"/>
  <cols>
    <col min="1" max="1" width="9.140625" style="38" customWidth="1"/>
    <col min="2" max="2" width="31.140625" style="38" customWidth="1"/>
    <col min="3" max="3" width="13.140625" style="38" customWidth="1"/>
    <col min="4" max="6" width="9.140625" style="38" customWidth="1"/>
    <col min="7" max="7" width="10.42578125" style="38" customWidth="1"/>
    <col min="8" max="16384" width="9.140625" style="38"/>
  </cols>
  <sheetData>
    <row r="1" spans="1:7">
      <c r="A1" s="15" t="s">
        <v>276</v>
      </c>
      <c r="B1" s="1171" t="s">
        <v>441</v>
      </c>
      <c r="C1" s="1171"/>
      <c r="D1" s="1171"/>
      <c r="E1" s="1171"/>
      <c r="F1" s="1171"/>
      <c r="G1" s="1171"/>
    </row>
    <row r="2" spans="1:7">
      <c r="A2" s="15"/>
      <c r="B2" s="1171" t="s">
        <v>277</v>
      </c>
      <c r="C2" s="1171"/>
      <c r="D2" s="1171"/>
      <c r="E2" s="1171"/>
      <c r="F2" s="1171"/>
      <c r="G2" s="1171"/>
    </row>
    <row r="3" spans="1:7">
      <c r="A3" s="15"/>
    </row>
    <row r="4" spans="1:7">
      <c r="A4" s="15"/>
      <c r="E4" s="38" t="s">
        <v>0</v>
      </c>
      <c r="F4" s="38">
        <f>ресурсы!D4</f>
        <v>72.260000000000005</v>
      </c>
      <c r="G4" s="38" t="s">
        <v>88</v>
      </c>
    </row>
    <row r="5" spans="1:7">
      <c r="A5" s="15"/>
      <c r="E5" s="38" t="s">
        <v>1</v>
      </c>
      <c r="F5" s="125">
        <f>ресурсы!D5</f>
        <v>72.260000000000005</v>
      </c>
      <c r="G5" s="38" t="s">
        <v>88</v>
      </c>
    </row>
    <row r="6" spans="1:7">
      <c r="A6" s="15"/>
      <c r="E6" s="38" t="s">
        <v>2</v>
      </c>
      <c r="F6" s="125">
        <f>ресурсы!D6</f>
        <v>72.260000000000005</v>
      </c>
      <c r="G6" s="38" t="s">
        <v>88</v>
      </c>
    </row>
    <row r="7" spans="1:7">
      <c r="A7" s="15"/>
      <c r="B7" s="38" t="s">
        <v>86</v>
      </c>
      <c r="E7" s="38" t="s">
        <v>178</v>
      </c>
      <c r="F7" s="125">
        <f>ресурсы!D7</f>
        <v>72.260000000000005</v>
      </c>
      <c r="G7" s="38" t="s">
        <v>88</v>
      </c>
    </row>
    <row r="8" spans="1:7">
      <c r="A8" s="15"/>
      <c r="B8" s="38" t="s">
        <v>89</v>
      </c>
      <c r="E8" s="38" t="s">
        <v>4</v>
      </c>
      <c r="F8" s="125">
        <f>ресурсы!D8</f>
        <v>72.260000000000005</v>
      </c>
      <c r="G8" s="38" t="s">
        <v>88</v>
      </c>
    </row>
    <row r="9" spans="1:7">
      <c r="A9" s="15"/>
      <c r="F9" s="38" t="s">
        <v>90</v>
      </c>
    </row>
    <row r="10" spans="1:7">
      <c r="A10" s="1229" t="s">
        <v>26</v>
      </c>
      <c r="B10" s="1229" t="s">
        <v>148</v>
      </c>
      <c r="C10" s="96" t="s">
        <v>94</v>
      </c>
      <c r="D10" s="96" t="s">
        <v>57</v>
      </c>
      <c r="E10" s="96" t="s">
        <v>96</v>
      </c>
      <c r="F10" s="96" t="s">
        <v>97</v>
      </c>
      <c r="G10" s="1229" t="s">
        <v>98</v>
      </c>
    </row>
    <row r="11" spans="1:7">
      <c r="A11" s="1230"/>
      <c r="B11" s="1230"/>
      <c r="C11" s="97"/>
      <c r="D11" s="97" t="s">
        <v>150</v>
      </c>
      <c r="E11" s="97" t="s">
        <v>278</v>
      </c>
      <c r="F11" s="97"/>
      <c r="G11" s="1230"/>
    </row>
    <row r="12" spans="1:7">
      <c r="A12" s="1229">
        <v>1</v>
      </c>
      <c r="B12" s="1220" t="s">
        <v>279</v>
      </c>
      <c r="C12" s="121" t="s">
        <v>280</v>
      </c>
      <c r="D12" s="97" t="s">
        <v>90</v>
      </c>
      <c r="E12" s="102">
        <f>E13*F4</f>
        <v>112.00300000000001</v>
      </c>
      <c r="F12" s="103">
        <v>1</v>
      </c>
      <c r="G12" s="1277">
        <f>E12*F12</f>
        <v>112.00300000000001</v>
      </c>
    </row>
    <row r="13" spans="1:7">
      <c r="A13" s="1230"/>
      <c r="B13" s="1221"/>
      <c r="C13" s="97"/>
      <c r="D13" s="97" t="s">
        <v>0</v>
      </c>
      <c r="E13" s="97">
        <v>1.55</v>
      </c>
      <c r="F13" s="103"/>
      <c r="G13" s="1278"/>
    </row>
    <row r="14" spans="1:7">
      <c r="A14" s="1229">
        <v>2</v>
      </c>
      <c r="B14" s="1220" t="s">
        <v>281</v>
      </c>
      <c r="C14" s="97" t="s">
        <v>282</v>
      </c>
      <c r="D14" s="97" t="s">
        <v>90</v>
      </c>
      <c r="E14" s="102">
        <f>E15*F5</f>
        <v>737.05200000000002</v>
      </c>
      <c r="F14" s="103">
        <v>1</v>
      </c>
      <c r="G14" s="1277">
        <f>E14*F14</f>
        <v>737.05200000000002</v>
      </c>
    </row>
    <row r="15" spans="1:7">
      <c r="A15" s="1230"/>
      <c r="B15" s="1221"/>
      <c r="C15" s="97" t="s">
        <v>283</v>
      </c>
      <c r="D15" s="97" t="s">
        <v>1</v>
      </c>
      <c r="E15" s="97">
        <v>10.199999999999999</v>
      </c>
      <c r="F15" s="103"/>
      <c r="G15" s="1281"/>
    </row>
    <row r="16" spans="1:7">
      <c r="A16" s="1229">
        <v>3</v>
      </c>
      <c r="B16" s="1220" t="s">
        <v>284</v>
      </c>
      <c r="C16" s="97" t="s">
        <v>282</v>
      </c>
      <c r="D16" s="97" t="s">
        <v>90</v>
      </c>
      <c r="E16" s="102">
        <f>E17*F5</f>
        <v>303.49200000000002</v>
      </c>
      <c r="F16" s="103">
        <v>1</v>
      </c>
      <c r="G16" s="1277">
        <f>E16*F16</f>
        <v>303.49200000000002</v>
      </c>
    </row>
    <row r="17" spans="1:7">
      <c r="A17" s="1230"/>
      <c r="B17" s="1221"/>
      <c r="C17" s="97" t="s">
        <v>285</v>
      </c>
      <c r="D17" s="97" t="s">
        <v>1</v>
      </c>
      <c r="E17" s="97">
        <v>4.2</v>
      </c>
      <c r="F17" s="103"/>
      <c r="G17" s="1281"/>
    </row>
    <row r="18" spans="1:7">
      <c r="A18" s="1229">
        <v>4</v>
      </c>
      <c r="B18" s="1220" t="s">
        <v>286</v>
      </c>
      <c r="C18" s="121" t="s">
        <v>287</v>
      </c>
      <c r="D18" s="97" t="s">
        <v>288</v>
      </c>
      <c r="E18" s="102">
        <f>E19*F6</f>
        <v>156.80420000000001</v>
      </c>
      <c r="F18" s="103">
        <v>0.1</v>
      </c>
      <c r="G18" s="1302">
        <f>E18*F18</f>
        <v>15.680420000000002</v>
      </c>
    </row>
    <row r="19" spans="1:7">
      <c r="A19" s="1230"/>
      <c r="B19" s="1280"/>
      <c r="C19" s="97"/>
      <c r="D19" s="97" t="s">
        <v>2</v>
      </c>
      <c r="E19" s="97">
        <v>2.17</v>
      </c>
      <c r="F19" s="103"/>
      <c r="G19" s="1278"/>
    </row>
    <row r="20" spans="1:7">
      <c r="A20" s="1229">
        <v>5</v>
      </c>
      <c r="B20" s="118" t="s">
        <v>289</v>
      </c>
      <c r="C20" s="122" t="s">
        <v>290</v>
      </c>
      <c r="D20" s="5" t="s">
        <v>291</v>
      </c>
      <c r="E20" s="100">
        <f>E21*F8</f>
        <v>3.6130000000000004</v>
      </c>
      <c r="F20" s="123">
        <v>36</v>
      </c>
      <c r="G20" s="1277">
        <f>E20*F20</f>
        <v>130.06800000000001</v>
      </c>
    </row>
    <row r="21" spans="1:7">
      <c r="A21" s="1230"/>
      <c r="B21" s="120" t="s">
        <v>292</v>
      </c>
      <c r="C21" s="5" t="s">
        <v>283</v>
      </c>
      <c r="D21" s="5" t="s">
        <v>4</v>
      </c>
      <c r="E21" s="5">
        <v>0.05</v>
      </c>
      <c r="F21" s="123"/>
      <c r="G21" s="1281"/>
    </row>
    <row r="22" spans="1:7">
      <c r="A22" s="1229">
        <v>6</v>
      </c>
      <c r="B22" s="1220" t="s">
        <v>293</v>
      </c>
      <c r="C22" s="122" t="s">
        <v>290</v>
      </c>
      <c r="D22" s="97" t="s">
        <v>666</v>
      </c>
      <c r="E22" s="124">
        <f>E23*F7</f>
        <v>32.517000000000003</v>
      </c>
      <c r="F22" s="103">
        <v>36</v>
      </c>
      <c r="G22" s="1277">
        <f>E22*F22</f>
        <v>1170.6120000000001</v>
      </c>
    </row>
    <row r="23" spans="1:7">
      <c r="A23" s="1230"/>
      <c r="B23" s="1221"/>
      <c r="C23" s="97" t="s">
        <v>285</v>
      </c>
      <c r="D23" s="97" t="s">
        <v>178</v>
      </c>
      <c r="E23" s="97">
        <v>0.45</v>
      </c>
      <c r="F23" s="103"/>
      <c r="G23" s="1281"/>
    </row>
    <row r="24" spans="1:7">
      <c r="A24" s="1229">
        <v>7</v>
      </c>
      <c r="B24" s="1220" t="s">
        <v>294</v>
      </c>
      <c r="C24" s="121" t="s">
        <v>287</v>
      </c>
      <c r="D24" s="97" t="s">
        <v>295</v>
      </c>
      <c r="E24" s="102">
        <f>E25*F6</f>
        <v>156.80420000000001</v>
      </c>
      <c r="F24" s="103">
        <v>0.1</v>
      </c>
      <c r="G24" s="1302">
        <f>E24*F24</f>
        <v>15.680420000000002</v>
      </c>
    </row>
    <row r="25" spans="1:7">
      <c r="A25" s="1230"/>
      <c r="B25" s="1221"/>
      <c r="C25" s="97"/>
      <c r="D25" s="97" t="s">
        <v>2</v>
      </c>
      <c r="E25" s="97">
        <v>2.17</v>
      </c>
      <c r="F25" s="103"/>
      <c r="G25" s="1281"/>
    </row>
    <row r="26" spans="1:7">
      <c r="A26" s="1229">
        <v>8</v>
      </c>
      <c r="B26" s="1220" t="s">
        <v>296</v>
      </c>
      <c r="C26" s="121" t="s">
        <v>280</v>
      </c>
      <c r="D26" s="97" t="s">
        <v>90</v>
      </c>
      <c r="E26" s="124">
        <f>E27*F6</f>
        <v>112.00300000000001</v>
      </c>
      <c r="F26" s="103">
        <v>1</v>
      </c>
      <c r="G26" s="1277">
        <f>E26*F26</f>
        <v>112.00300000000001</v>
      </c>
    </row>
    <row r="27" spans="1:7">
      <c r="A27" s="1230"/>
      <c r="B27" s="1221"/>
      <c r="C27" s="97" t="s">
        <v>297</v>
      </c>
      <c r="D27" s="97" t="s">
        <v>2</v>
      </c>
      <c r="E27" s="97">
        <v>1.55</v>
      </c>
      <c r="F27" s="97"/>
      <c r="G27" s="1281"/>
    </row>
    <row r="28" spans="1:7" ht="38.25">
      <c r="A28" s="1229">
        <v>9</v>
      </c>
      <c r="B28" s="73" t="s">
        <v>298</v>
      </c>
      <c r="C28" s="1229" t="s">
        <v>664</v>
      </c>
      <c r="D28" s="1229" t="s">
        <v>8</v>
      </c>
      <c r="E28" s="1229">
        <f>ресурсы!D13</f>
        <v>599.5</v>
      </c>
      <c r="F28" s="1229">
        <v>0.46</v>
      </c>
      <c r="G28" s="1277">
        <f>F28*E28</f>
        <v>275.77000000000004</v>
      </c>
    </row>
    <row r="29" spans="1:7" ht="25.5">
      <c r="A29" s="1230"/>
      <c r="B29" s="74" t="s">
        <v>299</v>
      </c>
      <c r="C29" s="1230"/>
      <c r="D29" s="1230"/>
      <c r="E29" s="1230"/>
      <c r="F29" s="1230"/>
      <c r="G29" s="1281"/>
    </row>
    <row r="30" spans="1:7">
      <c r="A30" s="1229">
        <v>10</v>
      </c>
      <c r="B30" s="1220" t="s">
        <v>300</v>
      </c>
      <c r="C30" s="97" t="s">
        <v>282</v>
      </c>
      <c r="D30" s="97" t="s">
        <v>90</v>
      </c>
      <c r="E30" s="124">
        <f>E31*F5</f>
        <v>122.1194</v>
      </c>
      <c r="F30" s="103">
        <v>1</v>
      </c>
      <c r="G30" s="1302">
        <f>E30*F30</f>
        <v>122.1194</v>
      </c>
    </row>
    <row r="31" spans="1:7">
      <c r="A31" s="1230"/>
      <c r="B31" s="1221"/>
      <c r="C31" s="97" t="s">
        <v>301</v>
      </c>
      <c r="D31" s="97" t="s">
        <v>1</v>
      </c>
      <c r="E31" s="97">
        <v>1.69</v>
      </c>
      <c r="F31" s="97"/>
      <c r="G31" s="1281"/>
    </row>
    <row r="32" spans="1:7">
      <c r="A32" s="16">
        <v>11</v>
      </c>
      <c r="B32" s="147" t="s">
        <v>302</v>
      </c>
      <c r="C32" s="16" t="s">
        <v>303</v>
      </c>
      <c r="D32" s="16" t="s">
        <v>304</v>
      </c>
      <c r="E32" s="125">
        <f>ресурсы!D29</f>
        <v>6.9</v>
      </c>
      <c r="F32" s="16">
        <v>3600</v>
      </c>
      <c r="G32" s="126">
        <f>F32*E32</f>
        <v>24840</v>
      </c>
    </row>
    <row r="33" spans="1:9" ht="25.5">
      <c r="A33" s="1229">
        <v>12</v>
      </c>
      <c r="B33" s="73" t="s">
        <v>305</v>
      </c>
      <c r="C33" s="1229" t="s">
        <v>664</v>
      </c>
      <c r="D33" s="1229" t="s">
        <v>8</v>
      </c>
      <c r="E33" s="1277">
        <f>ресурсы!D15</f>
        <v>485.24</v>
      </c>
      <c r="F33" s="1229">
        <v>0.24</v>
      </c>
      <c r="G33" s="1277">
        <f>E33*F33</f>
        <v>116.4576</v>
      </c>
    </row>
    <row r="34" spans="1:9" ht="25.5">
      <c r="A34" s="1279"/>
      <c r="B34" s="73" t="s">
        <v>724</v>
      </c>
      <c r="C34" s="1279"/>
      <c r="D34" s="1279"/>
      <c r="E34" s="1304"/>
      <c r="F34" s="1279"/>
      <c r="G34" s="1304"/>
    </row>
    <row r="35" spans="1:9">
      <c r="A35" s="1230"/>
      <c r="B35" s="74" t="s">
        <v>725</v>
      </c>
      <c r="C35" s="1230"/>
      <c r="D35" s="1230"/>
      <c r="E35" s="1281"/>
      <c r="F35" s="1230"/>
      <c r="G35" s="1281"/>
    </row>
    <row r="36" spans="1:9">
      <c r="A36" s="1229">
        <v>13</v>
      </c>
      <c r="B36" s="1220" t="s">
        <v>306</v>
      </c>
      <c r="C36" s="121" t="s">
        <v>307</v>
      </c>
      <c r="D36" s="97" t="s">
        <v>308</v>
      </c>
      <c r="E36" s="102">
        <f>E37*F6</f>
        <v>73.705200000000005</v>
      </c>
      <c r="F36" s="97">
        <v>0.08</v>
      </c>
      <c r="G36" s="1302">
        <f>E36*F36</f>
        <v>5.8964160000000003</v>
      </c>
    </row>
    <row r="37" spans="1:9">
      <c r="A37" s="1230"/>
      <c r="B37" s="1221"/>
      <c r="C37" s="97"/>
      <c r="D37" s="97" t="s">
        <v>2</v>
      </c>
      <c r="E37" s="97">
        <v>1.02</v>
      </c>
      <c r="F37" s="97"/>
      <c r="G37" s="1281"/>
    </row>
    <row r="38" spans="1:9">
      <c r="A38" s="5"/>
      <c r="B38" s="9" t="s">
        <v>309</v>
      </c>
      <c r="C38" s="5"/>
      <c r="D38" s="105">
        <v>100</v>
      </c>
      <c r="E38" s="5"/>
      <c r="F38" s="5"/>
      <c r="G38" s="127">
        <f>SUM(G12:G37)</f>
        <v>27956.834256000002</v>
      </c>
    </row>
    <row r="39" spans="1:9">
      <c r="A39" s="5"/>
      <c r="B39" s="9" t="s">
        <v>310</v>
      </c>
      <c r="C39" s="5"/>
      <c r="D39" s="5"/>
      <c r="E39" s="5"/>
      <c r="F39" s="5"/>
      <c r="G39" s="107">
        <f>G38/D38</f>
        <v>279.56834256000002</v>
      </c>
    </row>
    <row r="40" spans="1:9">
      <c r="A40" s="5"/>
      <c r="B40" s="9" t="s">
        <v>311</v>
      </c>
      <c r="C40" s="5"/>
      <c r="D40" s="105">
        <v>1.2</v>
      </c>
      <c r="E40" s="5"/>
      <c r="F40" s="5"/>
      <c r="G40" s="107">
        <f>G39*D40</f>
        <v>335.48201107200003</v>
      </c>
    </row>
    <row r="41" spans="1:9">
      <c r="A41" s="5"/>
      <c r="B41" s="9" t="s">
        <v>312</v>
      </c>
      <c r="C41" s="5"/>
      <c r="D41" s="105">
        <v>1.08</v>
      </c>
      <c r="E41" s="5"/>
      <c r="F41" s="5"/>
      <c r="G41" s="107">
        <f>G40*D41</f>
        <v>362.32057195776008</v>
      </c>
    </row>
    <row r="42" spans="1:9" ht="14.25" customHeight="1">
      <c r="A42" s="47"/>
      <c r="B42" s="50" t="s">
        <v>132</v>
      </c>
      <c r="C42" s="47">
        <v>1.18</v>
      </c>
      <c r="D42" s="47"/>
      <c r="E42" s="43"/>
      <c r="F42" s="43"/>
      <c r="G42" s="46">
        <f>G41*C42</f>
        <v>427.53827491015687</v>
      </c>
    </row>
    <row r="43" spans="1:9" ht="14.25" customHeight="1">
      <c r="A43" s="193"/>
      <c r="B43" s="196"/>
      <c r="C43" s="193"/>
      <c r="D43" s="193"/>
      <c r="E43" s="197"/>
      <c r="F43" s="197"/>
      <c r="G43" s="198"/>
    </row>
    <row r="44" spans="1:9" ht="14.25" customHeight="1">
      <c r="A44" s="193"/>
      <c r="B44" s="196"/>
      <c r="C44" s="193"/>
      <c r="D44" s="193"/>
      <c r="E44" s="197"/>
      <c r="F44" s="197"/>
      <c r="G44" s="198"/>
    </row>
    <row r="45" spans="1:9" ht="14.25" customHeight="1">
      <c r="A45" s="193"/>
      <c r="B45" s="192" t="s">
        <v>544</v>
      </c>
      <c r="C45" s="192"/>
      <c r="D45" s="1177"/>
      <c r="E45" s="1177"/>
      <c r="F45" s="1177"/>
      <c r="G45" s="1177"/>
      <c r="H45" s="208"/>
      <c r="I45" s="208"/>
    </row>
    <row r="46" spans="1:9" ht="14.25" customHeight="1">
      <c r="A46" s="193"/>
      <c r="B46" s="192"/>
      <c r="C46" s="192"/>
      <c r="D46" s="192"/>
      <c r="E46" s="192"/>
      <c r="F46" s="192"/>
      <c r="G46" s="195"/>
      <c r="H46" s="195"/>
      <c r="I46" s="195"/>
    </row>
    <row r="47" spans="1:9" ht="14.25" customHeight="1">
      <c r="A47" s="193"/>
      <c r="B47" s="192"/>
      <c r="C47" s="192"/>
      <c r="D47" s="192"/>
      <c r="E47" s="192"/>
      <c r="F47" s="192"/>
      <c r="G47" s="195"/>
      <c r="H47" s="195"/>
      <c r="I47" s="195"/>
    </row>
    <row r="48" spans="1:9" ht="14.25" customHeight="1">
      <c r="A48" s="193"/>
      <c r="B48" s="192" t="s">
        <v>545</v>
      </c>
      <c r="C48" s="192"/>
      <c r="D48" s="1177"/>
      <c r="E48" s="1177"/>
      <c r="F48" s="1177"/>
      <c r="G48" s="1177"/>
      <c r="H48" s="208"/>
      <c r="I48" s="208"/>
    </row>
    <row r="49" spans="1:7">
      <c r="A49" s="193"/>
      <c r="B49" s="196"/>
      <c r="C49" s="193"/>
      <c r="D49" s="193"/>
      <c r="E49" s="197"/>
      <c r="F49" s="197"/>
      <c r="G49" s="198"/>
    </row>
    <row r="50" spans="1:7">
      <c r="A50" s="193"/>
      <c r="B50" s="196"/>
      <c r="C50" s="193"/>
      <c r="D50" s="193"/>
      <c r="E50" s="197"/>
      <c r="F50" s="197"/>
      <c r="G50" s="198"/>
    </row>
    <row r="51" spans="1:7">
      <c r="A51" s="199"/>
      <c r="B51" s="200"/>
      <c r="C51" s="199"/>
      <c r="D51" s="199"/>
      <c r="E51" s="201"/>
      <c r="F51" s="201"/>
      <c r="G51" s="202"/>
    </row>
    <row r="53" spans="1:7">
      <c r="A53" s="15"/>
      <c r="B53" s="1284" t="s">
        <v>707</v>
      </c>
      <c r="C53" s="1284"/>
      <c r="D53" s="1284"/>
      <c r="E53" s="1284"/>
      <c r="F53" s="1284"/>
      <c r="G53" s="1284"/>
    </row>
    <row r="54" spans="1:7">
      <c r="A54" s="15"/>
      <c r="B54" s="1284" t="s">
        <v>313</v>
      </c>
      <c r="C54" s="1284"/>
      <c r="D54" s="1284"/>
      <c r="E54" s="1284"/>
      <c r="F54" s="1284"/>
      <c r="G54" s="1284"/>
    </row>
    <row r="55" spans="1:7">
      <c r="A55" s="15"/>
      <c r="B55" s="15"/>
      <c r="C55" s="15"/>
      <c r="D55" s="15"/>
      <c r="E55" s="15"/>
      <c r="F55" s="15"/>
      <c r="G55" s="15"/>
    </row>
    <row r="56" spans="1:7">
      <c r="A56" s="15"/>
      <c r="B56" s="15"/>
      <c r="C56" s="15"/>
      <c r="D56" s="15"/>
      <c r="E56" s="15"/>
      <c r="F56" s="15"/>
      <c r="G56" s="15"/>
    </row>
    <row r="57" spans="1:7">
      <c r="A57" s="15"/>
      <c r="B57" s="15"/>
      <c r="C57" s="15"/>
      <c r="D57" s="15"/>
      <c r="E57" s="15" t="s">
        <v>1</v>
      </c>
      <c r="F57" s="910">
        <f>ресурсы!D5</f>
        <v>72.260000000000005</v>
      </c>
      <c r="G57" s="15" t="s">
        <v>88</v>
      </c>
    </row>
    <row r="58" spans="1:7">
      <c r="B58" s="38" t="s">
        <v>86</v>
      </c>
      <c r="C58" s="15"/>
      <c r="D58" s="15"/>
      <c r="E58" s="15" t="s">
        <v>2</v>
      </c>
      <c r="F58" s="15">
        <f>ресурсы!D6</f>
        <v>72.260000000000005</v>
      </c>
      <c r="G58" s="15" t="s">
        <v>88</v>
      </c>
    </row>
    <row r="59" spans="1:7">
      <c r="B59" s="38" t="s">
        <v>89</v>
      </c>
      <c r="C59" s="15"/>
      <c r="D59" s="15"/>
      <c r="E59" s="15"/>
      <c r="F59" s="15"/>
      <c r="G59" s="15" t="s">
        <v>31</v>
      </c>
    </row>
    <row r="60" spans="1:7">
      <c r="A60" s="1229" t="s">
        <v>26</v>
      </c>
      <c r="B60" s="1229" t="s">
        <v>148</v>
      </c>
      <c r="C60" s="1229" t="s">
        <v>94</v>
      </c>
      <c r="D60" s="5" t="s">
        <v>57</v>
      </c>
      <c r="E60" s="5" t="s">
        <v>96</v>
      </c>
      <c r="F60" s="5" t="s">
        <v>97</v>
      </c>
      <c r="G60" s="1229" t="s">
        <v>98</v>
      </c>
    </row>
    <row r="61" spans="1:7">
      <c r="A61" s="1279"/>
      <c r="B61" s="1279"/>
      <c r="C61" s="1303"/>
      <c r="D61" s="16" t="s">
        <v>150</v>
      </c>
      <c r="E61" s="16" t="s">
        <v>314</v>
      </c>
      <c r="F61" s="16" t="s">
        <v>315</v>
      </c>
      <c r="G61" s="1279"/>
    </row>
    <row r="62" spans="1:7">
      <c r="A62" s="1229">
        <v>1</v>
      </c>
      <c r="B62" s="1305" t="s">
        <v>316</v>
      </c>
      <c r="C62" s="1308" t="s">
        <v>317</v>
      </c>
      <c r="D62" s="1229" t="s">
        <v>288</v>
      </c>
      <c r="E62" s="1310">
        <f>E64*F58</f>
        <v>156.80420000000001</v>
      </c>
      <c r="F62" s="1311">
        <v>1</v>
      </c>
      <c r="G62" s="1277">
        <f>E62*F62</f>
        <v>156.80420000000001</v>
      </c>
    </row>
    <row r="63" spans="1:7">
      <c r="A63" s="1279"/>
      <c r="B63" s="1306"/>
      <c r="C63" s="1309"/>
      <c r="D63" s="1230"/>
      <c r="E63" s="1230"/>
      <c r="F63" s="1312"/>
      <c r="G63" s="1304"/>
    </row>
    <row r="64" spans="1:7">
      <c r="A64" s="1276"/>
      <c r="B64" s="1307"/>
      <c r="C64" s="1276"/>
      <c r="D64" s="97" t="s">
        <v>318</v>
      </c>
      <c r="E64" s="124">
        <v>2.17</v>
      </c>
      <c r="F64" s="97"/>
      <c r="G64" s="1276"/>
    </row>
    <row r="65" spans="1:7" ht="25.5">
      <c r="A65" s="1279">
        <v>2</v>
      </c>
      <c r="B65" s="73" t="s">
        <v>319</v>
      </c>
      <c r="C65" s="104"/>
      <c r="D65" s="104"/>
      <c r="E65" s="104"/>
      <c r="F65" s="104"/>
      <c r="G65" s="126"/>
    </row>
    <row r="66" spans="1:7" ht="25.5">
      <c r="A66" s="1279"/>
      <c r="B66" s="73" t="s">
        <v>320</v>
      </c>
      <c r="C66" s="1279" t="s">
        <v>430</v>
      </c>
      <c r="D66" s="104"/>
      <c r="E66" s="104"/>
      <c r="F66" s="104"/>
      <c r="G66" s="126"/>
    </row>
    <row r="67" spans="1:7" ht="25.5">
      <c r="A67" s="1279"/>
      <c r="B67" s="73" t="s">
        <v>321</v>
      </c>
      <c r="C67" s="1303"/>
      <c r="D67" s="104" t="s">
        <v>8</v>
      </c>
      <c r="E67" s="104">
        <f>ресурсы!D13</f>
        <v>599.5</v>
      </c>
      <c r="F67" s="104">
        <v>3</v>
      </c>
      <c r="G67" s="126">
        <f>E67*F67</f>
        <v>1798.5</v>
      </c>
    </row>
    <row r="68" spans="1:7">
      <c r="A68" s="1279"/>
      <c r="B68" s="73" t="s">
        <v>322</v>
      </c>
      <c r="C68" s="104"/>
      <c r="D68" s="104"/>
      <c r="E68" s="104"/>
      <c r="F68" s="104"/>
      <c r="G68" s="126"/>
    </row>
    <row r="69" spans="1:7" ht="12" customHeight="1">
      <c r="A69" s="1230"/>
      <c r="B69" s="74" t="s">
        <v>323</v>
      </c>
      <c r="C69" s="97"/>
      <c r="D69" s="97"/>
      <c r="E69" s="97"/>
      <c r="F69" s="97"/>
      <c r="G69" s="102"/>
    </row>
    <row r="70" spans="1:7">
      <c r="A70" s="1229">
        <v>3</v>
      </c>
      <c r="B70" s="1220" t="s">
        <v>324</v>
      </c>
      <c r="C70" s="97" t="s">
        <v>325</v>
      </c>
      <c r="D70" s="97" t="s">
        <v>90</v>
      </c>
      <c r="E70" s="124">
        <f>E71*F57</f>
        <v>122.1194</v>
      </c>
      <c r="F70" s="97">
        <v>1</v>
      </c>
      <c r="G70" s="1302">
        <f>E70*F70</f>
        <v>122.1194</v>
      </c>
    </row>
    <row r="71" spans="1:7">
      <c r="A71" s="1230"/>
      <c r="B71" s="1221"/>
      <c r="C71" s="97" t="s">
        <v>326</v>
      </c>
      <c r="D71" s="97" t="s">
        <v>1</v>
      </c>
      <c r="E71" s="97">
        <v>1.69</v>
      </c>
      <c r="F71" s="97"/>
      <c r="G71" s="1276"/>
    </row>
    <row r="72" spans="1:7">
      <c r="A72" s="105"/>
      <c r="B72" s="9" t="s">
        <v>309</v>
      </c>
      <c r="C72" s="105"/>
      <c r="D72" s="105"/>
      <c r="E72" s="105"/>
      <c r="F72" s="105"/>
      <c r="G72" s="107">
        <f>SUM(G62:G71)</f>
        <v>2077.4236000000001</v>
      </c>
    </row>
    <row r="73" spans="1:7">
      <c r="A73" s="105"/>
      <c r="B73" s="9" t="s">
        <v>163</v>
      </c>
      <c r="C73" s="105">
        <v>1.2</v>
      </c>
      <c r="D73" s="105"/>
      <c r="E73" s="105"/>
      <c r="F73" s="105"/>
      <c r="G73" s="128">
        <f>G72*C73</f>
        <v>2492.90832</v>
      </c>
    </row>
    <row r="74" spans="1:7">
      <c r="A74" s="105"/>
      <c r="B74" s="9" t="s">
        <v>164</v>
      </c>
      <c r="C74" s="105">
        <v>1.08</v>
      </c>
      <c r="D74" s="105"/>
      <c r="E74" s="105"/>
      <c r="F74" s="105"/>
      <c r="G74" s="128">
        <f>G73*C74</f>
        <v>2692.3409856000003</v>
      </c>
    </row>
    <row r="75" spans="1:7">
      <c r="A75" s="47"/>
      <c r="B75" s="50" t="s">
        <v>327</v>
      </c>
      <c r="C75" s="47">
        <v>1.18</v>
      </c>
      <c r="D75" s="47"/>
      <c r="E75" s="43"/>
      <c r="F75" s="43"/>
      <c r="G75" s="46">
        <f>G74*C75</f>
        <v>3176.962363008</v>
      </c>
    </row>
    <row r="77" spans="1:7">
      <c r="G77" s="125"/>
    </row>
    <row r="78" spans="1:7">
      <c r="B78" s="1284" t="s">
        <v>120</v>
      </c>
      <c r="C78" s="1171"/>
      <c r="D78" s="1171"/>
      <c r="E78" s="1171"/>
      <c r="F78" s="1171"/>
      <c r="G78" s="1171"/>
    </row>
    <row r="79" spans="1:7">
      <c r="B79" s="1284" t="s">
        <v>328</v>
      </c>
      <c r="C79" s="1284"/>
      <c r="D79" s="1284"/>
      <c r="E79" s="1284"/>
      <c r="F79" s="1284"/>
      <c r="G79" s="1284"/>
    </row>
    <row r="80" spans="1:7">
      <c r="B80" s="15"/>
    </row>
    <row r="81" spans="1:7">
      <c r="B81" s="15"/>
      <c r="E81" s="38" t="s">
        <v>0</v>
      </c>
      <c r="F81" s="38">
        <f>ресурсы!D4</f>
        <v>72.260000000000005</v>
      </c>
      <c r="G81" s="38" t="s">
        <v>88</v>
      </c>
    </row>
    <row r="82" spans="1:7">
      <c r="B82" s="15"/>
      <c r="E82" s="38" t="s">
        <v>1</v>
      </c>
      <c r="F82" s="125">
        <f>ресурсы!D5</f>
        <v>72.260000000000005</v>
      </c>
      <c r="G82" s="38" t="s">
        <v>88</v>
      </c>
    </row>
    <row r="83" spans="1:7">
      <c r="B83" s="15"/>
      <c r="E83" s="38" t="s">
        <v>2</v>
      </c>
      <c r="F83" s="125">
        <f>ресурсы!D6</f>
        <v>72.260000000000005</v>
      </c>
      <c r="G83" s="38" t="s">
        <v>88</v>
      </c>
    </row>
    <row r="84" spans="1:7">
      <c r="B84" s="38" t="s">
        <v>86</v>
      </c>
      <c r="E84" s="38" t="s">
        <v>178</v>
      </c>
      <c r="F84" s="125">
        <f>ресурсы!D7</f>
        <v>72.260000000000005</v>
      </c>
      <c r="G84" s="38" t="s">
        <v>88</v>
      </c>
    </row>
    <row r="85" spans="1:7">
      <c r="B85" s="38" t="s">
        <v>89</v>
      </c>
      <c r="G85" s="38" t="s">
        <v>31</v>
      </c>
    </row>
    <row r="86" spans="1:7">
      <c r="A86" s="1229" t="s">
        <v>26</v>
      </c>
      <c r="B86" s="1229" t="s">
        <v>148</v>
      </c>
      <c r="C86" s="96" t="s">
        <v>329</v>
      </c>
      <c r="D86" s="96" t="s">
        <v>57</v>
      </c>
      <c r="E86" s="96" t="s">
        <v>96</v>
      </c>
      <c r="F86" s="96" t="s">
        <v>97</v>
      </c>
      <c r="G86" s="1229" t="s">
        <v>98</v>
      </c>
    </row>
    <row r="87" spans="1:7">
      <c r="A87" s="1230"/>
      <c r="B87" s="1230"/>
      <c r="C87" s="97" t="s">
        <v>330</v>
      </c>
      <c r="D87" s="97" t="s">
        <v>150</v>
      </c>
      <c r="E87" s="97" t="s">
        <v>314</v>
      </c>
      <c r="F87" s="97"/>
      <c r="G87" s="1230"/>
    </row>
    <row r="88" spans="1:7">
      <c r="A88" s="16">
        <v>1</v>
      </c>
      <c r="B88" s="73" t="s">
        <v>331</v>
      </c>
      <c r="C88" s="1308" t="s">
        <v>317</v>
      </c>
      <c r="D88" s="96" t="s">
        <v>332</v>
      </c>
      <c r="E88" s="129">
        <f>E89*F83</f>
        <v>156.80420000000001</v>
      </c>
      <c r="F88" s="130">
        <v>1.5</v>
      </c>
      <c r="G88" s="129">
        <f>E88*F88</f>
        <v>235.2063</v>
      </c>
    </row>
    <row r="89" spans="1:7">
      <c r="A89" s="17"/>
      <c r="B89" s="73" t="s">
        <v>960</v>
      </c>
      <c r="C89" s="1309"/>
      <c r="D89" s="104" t="s">
        <v>2</v>
      </c>
      <c r="E89" s="104">
        <v>2.17</v>
      </c>
      <c r="F89" s="104"/>
      <c r="G89" s="126"/>
    </row>
    <row r="90" spans="1:7" ht="25.5">
      <c r="A90" s="17"/>
      <c r="B90" s="73" t="s">
        <v>961</v>
      </c>
      <c r="C90" s="1276"/>
      <c r="D90" s="97"/>
      <c r="E90" s="97"/>
      <c r="F90" s="97"/>
      <c r="G90" s="102"/>
    </row>
    <row r="91" spans="1:7">
      <c r="A91" s="1279">
        <v>2</v>
      </c>
      <c r="B91" s="119" t="s">
        <v>333</v>
      </c>
      <c r="C91" s="1279" t="s">
        <v>430</v>
      </c>
      <c r="D91" s="104"/>
      <c r="E91" s="104"/>
      <c r="F91" s="104"/>
      <c r="G91" s="126"/>
    </row>
    <row r="92" spans="1:7">
      <c r="A92" s="1279"/>
      <c r="B92" s="119" t="s">
        <v>962</v>
      </c>
      <c r="C92" s="1303"/>
      <c r="D92" s="104" t="s">
        <v>115</v>
      </c>
      <c r="E92" s="104">
        <f>ресурсы!D13</f>
        <v>599.5</v>
      </c>
      <c r="F92" s="104">
        <v>4.3</v>
      </c>
      <c r="G92" s="126">
        <f>E92*F92</f>
        <v>2577.85</v>
      </c>
    </row>
    <row r="93" spans="1:7">
      <c r="A93" s="1230"/>
      <c r="B93" s="905" t="s">
        <v>963</v>
      </c>
      <c r="C93" s="1276"/>
      <c r="D93" s="104"/>
      <c r="E93" s="104"/>
      <c r="F93" s="131"/>
      <c r="G93" s="126"/>
    </row>
    <row r="94" spans="1:7">
      <c r="A94" s="1229">
        <v>3</v>
      </c>
      <c r="B94" s="148" t="s">
        <v>334</v>
      </c>
      <c r="C94" s="132" t="s">
        <v>335</v>
      </c>
      <c r="D94" s="96" t="s">
        <v>90</v>
      </c>
      <c r="E94" s="129">
        <f>E95*F82</f>
        <v>213.16700000000003</v>
      </c>
      <c r="F94" s="130">
        <v>1</v>
      </c>
      <c r="G94" s="1277">
        <f>E94*F94</f>
        <v>213.16700000000003</v>
      </c>
    </row>
    <row r="95" spans="1:7">
      <c r="A95" s="1230"/>
      <c r="B95" s="74" t="s">
        <v>336</v>
      </c>
      <c r="C95" s="97" t="s">
        <v>337</v>
      </c>
      <c r="D95" s="97" t="s">
        <v>1</v>
      </c>
      <c r="E95" s="97">
        <v>2.95</v>
      </c>
      <c r="F95" s="97"/>
      <c r="G95" s="1304"/>
    </row>
    <row r="96" spans="1:7">
      <c r="A96" s="1279">
        <v>4</v>
      </c>
      <c r="B96" s="118" t="s">
        <v>338</v>
      </c>
      <c r="C96" s="96" t="s">
        <v>339</v>
      </c>
      <c r="D96" s="1229" t="s">
        <v>340</v>
      </c>
      <c r="E96" s="1277">
        <f>ресурсы!D23</f>
        <v>36.6</v>
      </c>
      <c r="F96" s="1229">
        <v>1.2</v>
      </c>
      <c r="G96" s="1302">
        <f>E96*F96</f>
        <v>43.92</v>
      </c>
    </row>
    <row r="97" spans="1:7">
      <c r="A97" s="1279"/>
      <c r="B97" s="119" t="s">
        <v>341</v>
      </c>
      <c r="C97" s="104"/>
      <c r="D97" s="1279"/>
      <c r="E97" s="1304"/>
      <c r="F97" s="1279"/>
      <c r="G97" s="1313"/>
    </row>
    <row r="98" spans="1:7">
      <c r="A98" s="1279"/>
      <c r="B98" s="120" t="s">
        <v>342</v>
      </c>
      <c r="C98" s="133"/>
      <c r="D98" s="1230"/>
      <c r="E98" s="1281"/>
      <c r="F98" s="1230"/>
      <c r="G98" s="1314"/>
    </row>
    <row r="99" spans="1:7">
      <c r="A99" s="1229">
        <v>5</v>
      </c>
      <c r="B99" s="73" t="s">
        <v>343</v>
      </c>
      <c r="C99" s="132" t="s">
        <v>335</v>
      </c>
      <c r="D99" s="104" t="s">
        <v>344</v>
      </c>
      <c r="E99" s="134">
        <f>E100*F84</f>
        <v>5.0582000000000011</v>
      </c>
      <c r="F99" s="104">
        <v>10</v>
      </c>
      <c r="G99" s="1313">
        <f>E99*F99</f>
        <v>50.582000000000008</v>
      </c>
    </row>
    <row r="100" spans="1:7">
      <c r="A100" s="1230"/>
      <c r="B100" s="74" t="s">
        <v>345</v>
      </c>
      <c r="C100" s="97" t="s">
        <v>346</v>
      </c>
      <c r="D100" s="97" t="s">
        <v>178</v>
      </c>
      <c r="E100" s="97">
        <v>7.0000000000000007E-2</v>
      </c>
      <c r="F100" s="97"/>
      <c r="G100" s="1314"/>
    </row>
    <row r="101" spans="1:7">
      <c r="A101" s="1229">
        <v>6</v>
      </c>
      <c r="B101" s="73" t="s">
        <v>347</v>
      </c>
      <c r="C101" s="135" t="s">
        <v>307</v>
      </c>
      <c r="D101" s="104" t="s">
        <v>348</v>
      </c>
      <c r="E101" s="134">
        <f>E102*F81</f>
        <v>80.208600000000018</v>
      </c>
      <c r="F101" s="104">
        <f>100*0.1/1000</f>
        <v>0.01</v>
      </c>
      <c r="G101" s="1302">
        <f>E101*F101</f>
        <v>0.80208600000000019</v>
      </c>
    </row>
    <row r="102" spans="1:7">
      <c r="A102" s="1230"/>
      <c r="B102" s="74" t="s">
        <v>349</v>
      </c>
      <c r="C102" s="97" t="s">
        <v>285</v>
      </c>
      <c r="D102" s="97" t="s">
        <v>0</v>
      </c>
      <c r="E102" s="97">
        <v>1.1100000000000001</v>
      </c>
      <c r="F102" s="97"/>
      <c r="G102" s="1314"/>
    </row>
    <row r="103" spans="1:7">
      <c r="A103" s="1229">
        <v>7</v>
      </c>
      <c r="B103" s="73" t="s">
        <v>350</v>
      </c>
      <c r="C103" s="1315" t="s">
        <v>430</v>
      </c>
      <c r="D103" s="104"/>
      <c r="E103" s="104"/>
      <c r="F103" s="104"/>
      <c r="G103" s="126"/>
    </row>
    <row r="104" spans="1:7">
      <c r="A104" s="1279"/>
      <c r="B104" s="73" t="s">
        <v>351</v>
      </c>
      <c r="C104" s="1303"/>
      <c r="D104" s="104" t="s">
        <v>352</v>
      </c>
      <c r="E104" s="104">
        <f>ресурсы!D15</f>
        <v>485.24</v>
      </c>
      <c r="F104" s="104">
        <f>F101*4/5</f>
        <v>8.0000000000000002E-3</v>
      </c>
      <c r="G104" s="126">
        <f>E104*F104</f>
        <v>3.88192</v>
      </c>
    </row>
    <row r="105" spans="1:7">
      <c r="A105" s="1230"/>
      <c r="B105" s="74" t="s">
        <v>353</v>
      </c>
      <c r="C105" s="1276"/>
      <c r="D105" s="133"/>
      <c r="E105" s="133"/>
      <c r="F105" s="133"/>
      <c r="G105" s="136"/>
    </row>
    <row r="106" spans="1:7">
      <c r="A106" s="47"/>
      <c r="B106" s="9" t="s">
        <v>309</v>
      </c>
      <c r="C106" s="47"/>
      <c r="D106" s="47"/>
      <c r="E106" s="47"/>
      <c r="F106" s="137"/>
      <c r="G106" s="137">
        <f>SUM(G88:G105)</f>
        <v>3125.4093059999996</v>
      </c>
    </row>
    <row r="107" spans="1:7">
      <c r="A107" s="47"/>
      <c r="B107" s="9" t="s">
        <v>311</v>
      </c>
      <c r="C107" s="47">
        <v>1.2</v>
      </c>
      <c r="D107" s="47"/>
      <c r="E107" s="47"/>
      <c r="F107" s="47"/>
      <c r="G107" s="137">
        <f>G106*C107</f>
        <v>3750.4911671999994</v>
      </c>
    </row>
    <row r="108" spans="1:7">
      <c r="A108" s="47"/>
      <c r="B108" s="9" t="s">
        <v>312</v>
      </c>
      <c r="C108" s="47">
        <v>1.08</v>
      </c>
      <c r="D108" s="47"/>
      <c r="E108" s="47"/>
      <c r="F108" s="47"/>
      <c r="G108" s="137">
        <f>G107*C108</f>
        <v>4050.5304605759998</v>
      </c>
    </row>
    <row r="109" spans="1:7">
      <c r="A109" s="47"/>
      <c r="B109" s="50" t="s">
        <v>132</v>
      </c>
      <c r="C109" s="47">
        <v>1.18</v>
      </c>
      <c r="D109" s="47"/>
      <c r="E109" s="43"/>
      <c r="F109" s="43"/>
      <c r="G109" s="46">
        <f>G108*C109</f>
        <v>4779.6259434796793</v>
      </c>
    </row>
    <row r="110" spans="1:7">
      <c r="A110" s="193"/>
      <c r="B110" s="196"/>
      <c r="C110" s="193"/>
      <c r="D110" s="193"/>
      <c r="E110" s="197"/>
      <c r="F110" s="197"/>
      <c r="G110" s="198"/>
    </row>
    <row r="111" spans="1:7">
      <c r="A111" s="193"/>
      <c r="B111" s="196"/>
      <c r="C111" s="193"/>
      <c r="D111" s="193"/>
      <c r="E111" s="197"/>
      <c r="F111" s="197"/>
      <c r="G111" s="198"/>
    </row>
    <row r="112" spans="1:7">
      <c r="A112" s="193"/>
      <c r="B112" s="196"/>
      <c r="C112" s="193"/>
      <c r="D112" s="193"/>
      <c r="E112" s="197"/>
      <c r="F112" s="197"/>
      <c r="G112" s="198"/>
    </row>
    <row r="113" spans="1:9">
      <c r="A113" s="193"/>
      <c r="B113" s="196"/>
      <c r="C113" s="193"/>
      <c r="D113" s="193"/>
      <c r="E113" s="197"/>
      <c r="F113" s="197"/>
      <c r="G113" s="198"/>
    </row>
    <row r="114" spans="1:9" ht="15" customHeight="1">
      <c r="A114" s="193"/>
      <c r="B114" s="192" t="s">
        <v>544</v>
      </c>
      <c r="C114" s="192"/>
      <c r="D114" s="1177" t="s">
        <v>641</v>
      </c>
      <c r="E114" s="1177"/>
      <c r="F114" s="1177"/>
      <c r="G114" s="1177"/>
      <c r="H114" s="208"/>
      <c r="I114" s="208"/>
    </row>
    <row r="115" spans="1:9" ht="15">
      <c r="A115" s="193"/>
      <c r="B115" s="192"/>
      <c r="C115" s="192"/>
      <c r="D115" s="192"/>
      <c r="E115" s="192"/>
      <c r="F115" s="192"/>
      <c r="G115" s="195"/>
      <c r="H115" s="195"/>
      <c r="I115" s="195"/>
    </row>
    <row r="116" spans="1:9" ht="15">
      <c r="A116" s="193"/>
      <c r="B116" s="192"/>
      <c r="C116" s="192"/>
      <c r="D116" s="192"/>
      <c r="E116" s="192"/>
      <c r="F116" s="192"/>
      <c r="G116" s="195"/>
      <c r="H116" s="195"/>
      <c r="I116" s="195"/>
    </row>
    <row r="117" spans="1:9" ht="15" customHeight="1">
      <c r="A117" s="193"/>
      <c r="B117" s="192" t="s">
        <v>545</v>
      </c>
      <c r="C117" s="192"/>
      <c r="D117" s="1177"/>
      <c r="E117" s="1177"/>
      <c r="F117" s="1177"/>
      <c r="G117" s="1177"/>
      <c r="H117" s="208"/>
      <c r="I117" s="208"/>
    </row>
    <row r="118" spans="1:9">
      <c r="A118" s="193"/>
      <c r="B118" s="196"/>
      <c r="C118" s="193"/>
      <c r="D118" s="193"/>
      <c r="E118" s="197"/>
      <c r="F118" s="197"/>
      <c r="G118" s="198"/>
    </row>
    <row r="119" spans="1:9">
      <c r="A119" s="193"/>
      <c r="B119" s="196"/>
      <c r="C119" s="193"/>
      <c r="D119" s="193"/>
      <c r="E119" s="197"/>
      <c r="F119" s="197"/>
      <c r="G119" s="198"/>
    </row>
    <row r="120" spans="1:9">
      <c r="A120" s="193"/>
      <c r="B120" s="196"/>
      <c r="C120" s="193"/>
      <c r="D120" s="193"/>
      <c r="E120" s="197"/>
      <c r="F120" s="197"/>
      <c r="G120" s="198"/>
    </row>
    <row r="121" spans="1:9">
      <c r="A121" s="199"/>
      <c r="B121" s="200"/>
      <c r="C121" s="199"/>
      <c r="D121" s="199"/>
      <c r="E121" s="201"/>
      <c r="F121" s="201"/>
      <c r="G121" s="202"/>
    </row>
    <row r="122" spans="1:9">
      <c r="A122" s="193"/>
      <c r="B122" s="196"/>
      <c r="C122" s="193"/>
      <c r="D122" s="193"/>
      <c r="E122" s="197"/>
      <c r="F122" s="197"/>
      <c r="G122" s="198"/>
    </row>
    <row r="123" spans="1:9">
      <c r="A123" s="193"/>
      <c r="B123" s="196"/>
      <c r="C123" s="193"/>
      <c r="D123" s="193"/>
      <c r="E123" s="197"/>
      <c r="F123" s="197"/>
      <c r="G123" s="198"/>
    </row>
    <row r="124" spans="1:9">
      <c r="A124" s="193"/>
      <c r="B124" s="196"/>
      <c r="C124" s="193"/>
      <c r="D124" s="193"/>
      <c r="E124" s="197"/>
      <c r="F124" s="197"/>
      <c r="G124" s="198"/>
    </row>
    <row r="127" spans="1:9">
      <c r="B127" s="1284" t="s">
        <v>686</v>
      </c>
      <c r="C127" s="1171"/>
      <c r="D127" s="1171"/>
      <c r="E127" s="1171"/>
      <c r="F127" s="1171"/>
      <c r="G127" s="1171"/>
    </row>
    <row r="128" spans="1:9">
      <c r="B128" s="1284" t="s">
        <v>354</v>
      </c>
      <c r="C128" s="1284"/>
      <c r="D128" s="1284"/>
      <c r="E128" s="1284"/>
      <c r="F128" s="1284"/>
      <c r="G128" s="1284"/>
    </row>
    <row r="129" spans="1:7">
      <c r="B129" s="15"/>
    </row>
    <row r="130" spans="1:7">
      <c r="B130" s="15"/>
      <c r="E130" s="38" t="s">
        <v>0</v>
      </c>
      <c r="F130" s="125">
        <f>ресурсы!D4</f>
        <v>72.260000000000005</v>
      </c>
      <c r="G130" s="38" t="s">
        <v>88</v>
      </c>
    </row>
    <row r="131" spans="1:7">
      <c r="B131" s="15"/>
      <c r="E131" s="38" t="s">
        <v>1</v>
      </c>
      <c r="F131" s="125">
        <f>ресурсы!D5</f>
        <v>72.260000000000005</v>
      </c>
      <c r="G131" s="38" t="s">
        <v>88</v>
      </c>
    </row>
    <row r="132" spans="1:7">
      <c r="E132" s="38" t="s">
        <v>2</v>
      </c>
      <c r="F132" s="125">
        <f>ресурсы!D6</f>
        <v>72.260000000000005</v>
      </c>
      <c r="G132" s="38" t="s">
        <v>88</v>
      </c>
    </row>
    <row r="133" spans="1:7">
      <c r="B133" s="38" t="s">
        <v>86</v>
      </c>
      <c r="E133" s="38" t="s">
        <v>178</v>
      </c>
      <c r="F133" s="125">
        <f>ресурсы!D7</f>
        <v>72.260000000000005</v>
      </c>
      <c r="G133" s="38" t="s">
        <v>88</v>
      </c>
    </row>
    <row r="134" spans="1:7">
      <c r="B134" s="38" t="s">
        <v>89</v>
      </c>
      <c r="G134" s="38" t="s">
        <v>31</v>
      </c>
    </row>
    <row r="135" spans="1:7">
      <c r="A135" s="1229" t="s">
        <v>26</v>
      </c>
      <c r="B135" s="1229" t="s">
        <v>148</v>
      </c>
      <c r="C135" s="96" t="s">
        <v>329</v>
      </c>
      <c r="D135" s="96" t="s">
        <v>57</v>
      </c>
      <c r="E135" s="96" t="s">
        <v>96</v>
      </c>
      <c r="F135" s="96" t="s">
        <v>97</v>
      </c>
      <c r="G135" s="1229" t="s">
        <v>98</v>
      </c>
    </row>
    <row r="136" spans="1:7">
      <c r="A136" s="1230"/>
      <c r="B136" s="1230"/>
      <c r="C136" s="97" t="s">
        <v>330</v>
      </c>
      <c r="D136" s="97" t="s">
        <v>150</v>
      </c>
      <c r="E136" s="97" t="s">
        <v>314</v>
      </c>
      <c r="F136" s="97"/>
      <c r="G136" s="1230"/>
    </row>
    <row r="137" spans="1:7" ht="18.75" customHeight="1">
      <c r="A137" s="16">
        <v>1</v>
      </c>
      <c r="B137" s="73" t="s">
        <v>331</v>
      </c>
      <c r="C137" s="1308" t="s">
        <v>317</v>
      </c>
      <c r="D137" s="104" t="s">
        <v>332</v>
      </c>
      <c r="E137" s="126">
        <f>E138*F132</f>
        <v>156.80420000000001</v>
      </c>
      <c r="F137" s="138">
        <v>1</v>
      </c>
      <c r="G137" s="126">
        <f>E137*F137</f>
        <v>156.80420000000001</v>
      </c>
    </row>
    <row r="138" spans="1:7" ht="19.5" customHeight="1">
      <c r="A138" s="17"/>
      <c r="B138" s="73" t="s">
        <v>355</v>
      </c>
      <c r="C138" s="1309"/>
      <c r="D138" s="104" t="s">
        <v>2</v>
      </c>
      <c r="E138" s="104">
        <v>2.17</v>
      </c>
      <c r="F138" s="138"/>
      <c r="G138" s="126"/>
    </row>
    <row r="139" spans="1:7" ht="30.75" customHeight="1">
      <c r="A139" s="17"/>
      <c r="B139" s="73" t="s">
        <v>964</v>
      </c>
      <c r="C139" s="1303"/>
      <c r="D139" s="104"/>
      <c r="E139" s="104"/>
      <c r="F139" s="138"/>
      <c r="G139" s="126"/>
    </row>
    <row r="140" spans="1:7">
      <c r="A140" s="17">
        <v>2</v>
      </c>
      <c r="B140" s="118" t="s">
        <v>333</v>
      </c>
      <c r="C140" s="1229" t="s">
        <v>734</v>
      </c>
      <c r="D140" s="96"/>
      <c r="E140" s="96"/>
      <c r="F140" s="130"/>
      <c r="G140" s="129"/>
    </row>
    <row r="141" spans="1:7" ht="24" customHeight="1">
      <c r="A141" s="17"/>
      <c r="B141" s="119" t="s">
        <v>965</v>
      </c>
      <c r="C141" s="1303"/>
      <c r="D141" s="104" t="s">
        <v>115</v>
      </c>
      <c r="E141" s="104">
        <f>ресурсы!D13</f>
        <v>599.5</v>
      </c>
      <c r="F141" s="138">
        <v>2.9</v>
      </c>
      <c r="G141" s="126">
        <f>E141*F141</f>
        <v>1738.55</v>
      </c>
    </row>
    <row r="142" spans="1:7">
      <c r="A142" s="18"/>
      <c r="B142" s="905" t="s">
        <v>966</v>
      </c>
      <c r="C142" s="133"/>
      <c r="D142" s="97"/>
      <c r="E142" s="97"/>
      <c r="F142" s="139"/>
      <c r="G142" s="102"/>
    </row>
    <row r="143" spans="1:7" ht="14.25" customHeight="1">
      <c r="A143" s="1229">
        <v>3</v>
      </c>
      <c r="B143" s="118" t="s">
        <v>334</v>
      </c>
      <c r="C143" s="140" t="s">
        <v>335</v>
      </c>
      <c r="D143" s="96" t="s">
        <v>90</v>
      </c>
      <c r="E143" s="129">
        <f>E144*F131</f>
        <v>213.16700000000003</v>
      </c>
      <c r="F143" s="130">
        <v>2</v>
      </c>
      <c r="G143" s="1277">
        <f>E143*F143</f>
        <v>426.33400000000006</v>
      </c>
    </row>
    <row r="144" spans="1:7" ht="16.5" customHeight="1">
      <c r="A144" s="1279"/>
      <c r="B144" s="120" t="s">
        <v>356</v>
      </c>
      <c r="C144" s="97" t="s">
        <v>337</v>
      </c>
      <c r="D144" s="97" t="s">
        <v>1</v>
      </c>
      <c r="E144" s="97">
        <v>2.95</v>
      </c>
      <c r="F144" s="103"/>
      <c r="G144" s="1281"/>
    </row>
    <row r="145" spans="1:8">
      <c r="A145" s="1229">
        <v>4</v>
      </c>
      <c r="B145" s="118" t="s">
        <v>343</v>
      </c>
      <c r="C145" s="140" t="s">
        <v>335</v>
      </c>
      <c r="D145" s="96" t="s">
        <v>344</v>
      </c>
      <c r="E145" s="141">
        <f>E146*F133</f>
        <v>5.0582000000000011</v>
      </c>
      <c r="F145" s="130">
        <v>10</v>
      </c>
      <c r="G145" s="1302">
        <f>E145*F145</f>
        <v>50.582000000000008</v>
      </c>
    </row>
    <row r="146" spans="1:8" ht="14.25" customHeight="1">
      <c r="A146" s="1230"/>
      <c r="B146" s="120" t="s">
        <v>345</v>
      </c>
      <c r="C146" s="97" t="s">
        <v>346</v>
      </c>
      <c r="D146" s="97" t="s">
        <v>178</v>
      </c>
      <c r="E146" s="97">
        <v>7.0000000000000007E-2</v>
      </c>
      <c r="F146" s="103"/>
      <c r="G146" s="1314"/>
    </row>
    <row r="147" spans="1:8">
      <c r="A147" s="1229">
        <v>5</v>
      </c>
      <c r="B147" s="73" t="s">
        <v>347</v>
      </c>
      <c r="C147" s="135" t="s">
        <v>307</v>
      </c>
      <c r="D147" s="104" t="s">
        <v>348</v>
      </c>
      <c r="E147" s="134">
        <f>E148*F130</f>
        <v>80.208600000000018</v>
      </c>
      <c r="F147" s="142">
        <f>100*0.1*1/1000</f>
        <v>0.01</v>
      </c>
      <c r="G147" s="143">
        <f>E147*F147</f>
        <v>0.80208600000000019</v>
      </c>
    </row>
    <row r="148" spans="1:8">
      <c r="A148" s="1230"/>
      <c r="B148" s="74" t="s">
        <v>349</v>
      </c>
      <c r="C148" s="97" t="s">
        <v>285</v>
      </c>
      <c r="D148" s="97" t="s">
        <v>0</v>
      </c>
      <c r="E148" s="97">
        <v>1.1100000000000001</v>
      </c>
      <c r="F148" s="103"/>
      <c r="G148" s="144"/>
    </row>
    <row r="149" spans="1:8">
      <c r="A149" s="1229">
        <v>6</v>
      </c>
      <c r="B149" s="73" t="s">
        <v>350</v>
      </c>
      <c r="C149" s="1315" t="s">
        <v>734</v>
      </c>
      <c r="D149" s="104"/>
      <c r="E149" s="104"/>
      <c r="F149" s="104"/>
      <c r="G149" s="126"/>
    </row>
    <row r="150" spans="1:8">
      <c r="A150" s="1279"/>
      <c r="B150" s="73" t="s">
        <v>351</v>
      </c>
      <c r="C150" s="1303"/>
      <c r="D150" s="104" t="s">
        <v>352</v>
      </c>
      <c r="E150" s="104">
        <f>ресурсы!D15</f>
        <v>485.24</v>
      </c>
      <c r="F150" s="104">
        <f>F147*4/5</f>
        <v>8.0000000000000002E-3</v>
      </c>
      <c r="G150" s="126">
        <f>E150*F150</f>
        <v>3.88192</v>
      </c>
    </row>
    <row r="151" spans="1:8">
      <c r="A151" s="1230"/>
      <c r="B151" s="74" t="s">
        <v>353</v>
      </c>
      <c r="C151" s="1276"/>
      <c r="D151" s="133"/>
      <c r="E151" s="133"/>
      <c r="F151" s="133"/>
      <c r="G151" s="136"/>
    </row>
    <row r="152" spans="1:8">
      <c r="A152" s="47"/>
      <c r="B152" s="9" t="s">
        <v>357</v>
      </c>
      <c r="D152" s="47"/>
      <c r="E152" s="47"/>
      <c r="F152" s="137"/>
      <c r="G152" s="137">
        <f>SUM(G137:G151)</f>
        <v>2376.9542059999999</v>
      </c>
    </row>
    <row r="153" spans="1:8" ht="16.5" customHeight="1">
      <c r="A153" s="47"/>
      <c r="B153" s="9" t="s">
        <v>311</v>
      </c>
      <c r="C153" s="47">
        <v>1.2</v>
      </c>
      <c r="D153" s="47"/>
      <c r="E153" s="47"/>
      <c r="F153" s="47"/>
      <c r="G153" s="137">
        <f>G152*C153</f>
        <v>2852.3450472</v>
      </c>
    </row>
    <row r="154" spans="1:8" ht="17.25" customHeight="1">
      <c r="A154" s="47"/>
      <c r="B154" s="9" t="s">
        <v>312</v>
      </c>
      <c r="C154" s="47">
        <v>1.08</v>
      </c>
      <c r="D154" s="47"/>
      <c r="E154" s="47"/>
      <c r="F154" s="47"/>
      <c r="G154" s="137">
        <f>G153*C154</f>
        <v>3080.5326509760002</v>
      </c>
    </row>
    <row r="155" spans="1:8">
      <c r="A155" s="47"/>
      <c r="B155" s="50" t="s">
        <v>132</v>
      </c>
      <c r="C155" s="47">
        <v>1.18</v>
      </c>
      <c r="D155" s="47"/>
      <c r="E155" s="43"/>
      <c r="F155" s="43"/>
      <c r="G155" s="46">
        <f>G154*C155</f>
        <v>3635.0285281516799</v>
      </c>
    </row>
    <row r="156" spans="1:8">
      <c r="A156" s="193"/>
      <c r="B156" s="196"/>
      <c r="C156" s="193"/>
      <c r="D156" s="193"/>
      <c r="E156" s="197"/>
      <c r="F156" s="197"/>
      <c r="G156" s="198"/>
    </row>
    <row r="157" spans="1:8">
      <c r="A157" s="193"/>
      <c r="B157" s="196"/>
      <c r="C157" s="193"/>
      <c r="D157" s="193"/>
      <c r="E157" s="197"/>
      <c r="F157" s="197"/>
      <c r="G157" s="198"/>
    </row>
    <row r="158" spans="1:8">
      <c r="A158" s="193"/>
      <c r="B158" s="196"/>
      <c r="C158" s="193"/>
      <c r="D158" s="193"/>
      <c r="E158" s="197"/>
      <c r="F158" s="197"/>
      <c r="G158" s="198"/>
    </row>
    <row r="159" spans="1:8">
      <c r="A159" s="193"/>
      <c r="B159" s="196"/>
      <c r="C159" s="193"/>
      <c r="D159" s="193"/>
      <c r="E159" s="197"/>
      <c r="F159" s="197"/>
      <c r="G159" s="198"/>
    </row>
    <row r="160" spans="1:8" ht="30">
      <c r="A160" s="192" t="s">
        <v>544</v>
      </c>
      <c r="B160" s="192"/>
      <c r="C160" s="1177" t="s">
        <v>685</v>
      </c>
      <c r="D160" s="1177"/>
      <c r="E160" s="1177"/>
      <c r="F160" s="1177"/>
      <c r="G160" s="1177"/>
      <c r="H160" s="208"/>
    </row>
    <row r="161" spans="1:8" ht="15">
      <c r="A161" s="192"/>
      <c r="B161" s="192"/>
      <c r="C161" s="192"/>
      <c r="D161" s="192"/>
      <c r="E161" s="192"/>
      <c r="F161" s="195"/>
      <c r="G161" s="195"/>
      <c r="H161" s="195"/>
    </row>
    <row r="162" spans="1:8" ht="15">
      <c r="A162" s="192"/>
      <c r="B162" s="192"/>
      <c r="C162" s="192"/>
      <c r="D162" s="192"/>
      <c r="E162" s="192"/>
      <c r="F162" s="195"/>
      <c r="G162" s="195"/>
      <c r="H162" s="195"/>
    </row>
    <row r="163" spans="1:8" ht="30" customHeight="1">
      <c r="A163" s="1320" t="s">
        <v>545</v>
      </c>
      <c r="B163" s="1320"/>
      <c r="C163" s="1177"/>
      <c r="D163" s="1177"/>
      <c r="E163" s="1177"/>
      <c r="F163" s="1177"/>
      <c r="G163" s="1177"/>
      <c r="H163" s="208"/>
    </row>
    <row r="164" spans="1:8" ht="15">
      <c r="A164" s="192"/>
      <c r="B164" s="192"/>
      <c r="C164" s="192"/>
      <c r="D164" s="192"/>
      <c r="E164" s="192"/>
      <c r="F164" s="192"/>
      <c r="G164" s="192"/>
      <c r="H164" s="192"/>
    </row>
    <row r="165" spans="1:8" ht="15">
      <c r="A165" s="192"/>
      <c r="B165" s="192"/>
      <c r="C165" s="192"/>
      <c r="D165" s="192"/>
      <c r="E165" s="192"/>
      <c r="F165" s="192"/>
      <c r="G165" s="192"/>
      <c r="H165" s="192"/>
    </row>
    <row r="166" spans="1:8" ht="15">
      <c r="A166" s="192"/>
      <c r="B166" s="192"/>
      <c r="C166" s="192"/>
      <c r="D166" s="192"/>
      <c r="E166" s="192"/>
      <c r="F166" s="192"/>
      <c r="G166" s="192"/>
      <c r="H166" s="192"/>
    </row>
    <row r="167" spans="1:8" ht="15">
      <c r="A167" s="204"/>
      <c r="B167" s="204"/>
      <c r="C167" s="204"/>
      <c r="D167" s="204"/>
      <c r="E167" s="204"/>
      <c r="F167" s="204"/>
      <c r="G167" s="204"/>
      <c r="H167" s="192"/>
    </row>
    <row r="168" spans="1:8" ht="15">
      <c r="A168" s="192"/>
      <c r="B168" s="192"/>
      <c r="C168" s="192"/>
      <c r="D168" s="192"/>
      <c r="E168" s="192"/>
      <c r="F168" s="192"/>
      <c r="G168" s="192"/>
      <c r="H168" s="192"/>
    </row>
    <row r="171" spans="1:8">
      <c r="B171" s="1212" t="s">
        <v>708</v>
      </c>
      <c r="C171" s="1188"/>
      <c r="D171" s="1188"/>
      <c r="E171" s="1188"/>
      <c r="F171" s="1188"/>
      <c r="G171" s="1188"/>
    </row>
    <row r="172" spans="1:8">
      <c r="B172" s="1284" t="s">
        <v>358</v>
      </c>
      <c r="C172" s="1284"/>
      <c r="D172" s="1284"/>
      <c r="E172" s="1284"/>
      <c r="F172" s="1284"/>
      <c r="G172" s="1284"/>
    </row>
    <row r="173" spans="1:8">
      <c r="B173" s="15"/>
    </row>
    <row r="174" spans="1:8">
      <c r="B174" s="15"/>
      <c r="E174" s="38" t="s">
        <v>0</v>
      </c>
      <c r="F174" s="125">
        <f>ресурсы!D4</f>
        <v>72.260000000000005</v>
      </c>
      <c r="G174" s="38" t="s">
        <v>88</v>
      </c>
    </row>
    <row r="175" spans="1:8">
      <c r="B175" s="15"/>
      <c r="E175" s="38" t="s">
        <v>359</v>
      </c>
      <c r="F175" s="125">
        <f>ресурсы!D5</f>
        <v>72.260000000000005</v>
      </c>
      <c r="G175" s="38" t="s">
        <v>88</v>
      </c>
    </row>
    <row r="176" spans="1:8">
      <c r="B176" s="38" t="s">
        <v>86</v>
      </c>
      <c r="E176" s="38" t="s">
        <v>2</v>
      </c>
      <c r="F176" s="125">
        <f>ресурсы!D6</f>
        <v>72.260000000000005</v>
      </c>
      <c r="G176" s="38" t="s">
        <v>88</v>
      </c>
    </row>
    <row r="177" spans="1:7">
      <c r="B177" s="38" t="s">
        <v>89</v>
      </c>
      <c r="G177" s="38" t="s">
        <v>31</v>
      </c>
    </row>
    <row r="178" spans="1:7" ht="12.75" customHeight="1">
      <c r="A178" s="1316" t="s">
        <v>26</v>
      </c>
      <c r="B178" s="1316" t="s">
        <v>148</v>
      </c>
      <c r="C178" s="221" t="s">
        <v>329</v>
      </c>
      <c r="D178" s="221" t="s">
        <v>57</v>
      </c>
      <c r="E178" s="221" t="s">
        <v>96</v>
      </c>
      <c r="F178" s="221" t="s">
        <v>97</v>
      </c>
      <c r="G178" s="1316" t="s">
        <v>98</v>
      </c>
    </row>
    <row r="179" spans="1:7">
      <c r="A179" s="1317"/>
      <c r="B179" s="1317"/>
      <c r="C179" s="223" t="s">
        <v>330</v>
      </c>
      <c r="D179" s="223" t="s">
        <v>150</v>
      </c>
      <c r="E179" s="223" t="s">
        <v>360</v>
      </c>
      <c r="F179" s="223"/>
      <c r="G179" s="1317"/>
    </row>
    <row r="180" spans="1:7">
      <c r="A180" s="1316">
        <v>1</v>
      </c>
      <c r="B180" s="1316" t="s">
        <v>361</v>
      </c>
      <c r="C180" s="237" t="s">
        <v>280</v>
      </c>
      <c r="D180" s="221" t="s">
        <v>90</v>
      </c>
      <c r="E180" s="238">
        <f>E181*F175</f>
        <v>232.67720000000003</v>
      </c>
      <c r="F180" s="232">
        <v>1</v>
      </c>
      <c r="G180" s="1318">
        <f>E180*F180</f>
        <v>232.67720000000003</v>
      </c>
    </row>
    <row r="181" spans="1:7">
      <c r="A181" s="1317"/>
      <c r="B181" s="1317"/>
      <c r="C181" s="223" t="s">
        <v>362</v>
      </c>
      <c r="D181" s="223" t="s">
        <v>1</v>
      </c>
      <c r="E181" s="239">
        <v>3.22</v>
      </c>
      <c r="F181" s="223"/>
      <c r="G181" s="1319"/>
    </row>
    <row r="182" spans="1:7">
      <c r="A182" s="1316">
        <v>2</v>
      </c>
      <c r="B182" s="224" t="s">
        <v>347</v>
      </c>
      <c r="C182" s="225" t="s">
        <v>307</v>
      </c>
      <c r="D182" s="224" t="s">
        <v>348</v>
      </c>
      <c r="E182" s="236">
        <f>E183*F174</f>
        <v>80.208600000000018</v>
      </c>
      <c r="F182" s="226">
        <v>0.05</v>
      </c>
      <c r="G182" s="234">
        <f>E182*F182</f>
        <v>4.0104300000000013</v>
      </c>
    </row>
    <row r="183" spans="1:7">
      <c r="A183" s="1317"/>
      <c r="B183" s="223" t="s">
        <v>363</v>
      </c>
      <c r="C183" s="223" t="s">
        <v>285</v>
      </c>
      <c r="D183" s="223" t="s">
        <v>0</v>
      </c>
      <c r="E183" s="223">
        <v>1.1100000000000001</v>
      </c>
      <c r="F183" s="229"/>
      <c r="G183" s="235"/>
    </row>
    <row r="184" spans="1:7" ht="38.25">
      <c r="A184" s="222">
        <v>3</v>
      </c>
      <c r="B184" s="222" t="s">
        <v>364</v>
      </c>
      <c r="C184" s="223" t="s">
        <v>664</v>
      </c>
      <c r="D184" s="224" t="s">
        <v>352</v>
      </c>
      <c r="E184" s="224">
        <f>ресурсы!D15</f>
        <v>485.24</v>
      </c>
      <c r="F184" s="224">
        <v>0.04</v>
      </c>
      <c r="G184" s="233">
        <f>E184*F184</f>
        <v>19.409600000000001</v>
      </c>
    </row>
    <row r="185" spans="1:7">
      <c r="A185" s="227" t="s">
        <v>365</v>
      </c>
      <c r="B185" s="220"/>
      <c r="C185" s="220"/>
      <c r="D185" s="220"/>
      <c r="E185" s="220"/>
      <c r="F185" s="220"/>
      <c r="G185" s="230"/>
    </row>
    <row r="186" spans="1:7" ht="15">
      <c r="A186" s="220"/>
      <c r="B186" s="228" t="s">
        <v>357</v>
      </c>
      <c r="C186" s="220"/>
      <c r="D186" s="220"/>
      <c r="E186" s="220"/>
      <c r="F186" s="220"/>
      <c r="G186" s="230">
        <f>G180+G182+G184</f>
        <v>256.09723000000002</v>
      </c>
    </row>
    <row r="187" spans="1:7">
      <c r="A187" s="220"/>
      <c r="B187" s="227" t="s">
        <v>366</v>
      </c>
      <c r="C187" s="220">
        <v>1.2</v>
      </c>
      <c r="D187" s="220"/>
      <c r="E187" s="220"/>
      <c r="F187" s="220"/>
      <c r="G187" s="230">
        <f>G186*C187</f>
        <v>307.31667600000003</v>
      </c>
    </row>
    <row r="188" spans="1:7">
      <c r="A188" s="220"/>
      <c r="B188" s="227" t="s">
        <v>367</v>
      </c>
      <c r="C188" s="220">
        <v>1.08</v>
      </c>
      <c r="D188" s="220"/>
      <c r="E188" s="220"/>
      <c r="F188" s="220"/>
      <c r="G188" s="230">
        <f>G187*C188</f>
        <v>331.90201008000008</v>
      </c>
    </row>
    <row r="189" spans="1:7">
      <c r="A189" s="220"/>
      <c r="B189" s="219" t="s">
        <v>132</v>
      </c>
      <c r="C189" s="220">
        <v>1.18</v>
      </c>
      <c r="D189" s="220"/>
      <c r="E189" s="219"/>
      <c r="F189" s="219"/>
      <c r="G189" s="231">
        <f>G188*C189</f>
        <v>391.64437189440008</v>
      </c>
    </row>
    <row r="193" spans="1:7">
      <c r="B193" s="1212" t="s">
        <v>442</v>
      </c>
      <c r="C193" s="1188"/>
      <c r="D193" s="1188"/>
      <c r="E193" s="1188"/>
      <c r="F193" s="1188"/>
      <c r="G193" s="1188"/>
    </row>
    <row r="194" spans="1:7">
      <c r="B194" s="1284" t="s">
        <v>368</v>
      </c>
      <c r="C194" s="1284"/>
      <c r="D194" s="1284"/>
      <c r="E194" s="1284"/>
      <c r="F194" s="1284"/>
      <c r="G194" s="1284"/>
    </row>
    <row r="195" spans="1:7">
      <c r="A195" s="15"/>
    </row>
    <row r="196" spans="1:7">
      <c r="B196" s="15"/>
      <c r="E196" s="38" t="s">
        <v>0</v>
      </c>
      <c r="F196" s="38">
        <f>ресурсы!D4</f>
        <v>72.260000000000005</v>
      </c>
      <c r="G196" s="38" t="s">
        <v>88</v>
      </c>
    </row>
    <row r="197" spans="1:7">
      <c r="B197" s="38" t="s">
        <v>86</v>
      </c>
      <c r="E197" s="38" t="s">
        <v>1</v>
      </c>
      <c r="F197" s="125">
        <f>ресурсы!D5</f>
        <v>72.260000000000005</v>
      </c>
      <c r="G197" s="38" t="s">
        <v>88</v>
      </c>
    </row>
    <row r="198" spans="1:7">
      <c r="B198" s="38" t="s">
        <v>89</v>
      </c>
      <c r="G198" s="38" t="s">
        <v>31</v>
      </c>
    </row>
    <row r="199" spans="1:7">
      <c r="A199" s="1229" t="s">
        <v>26</v>
      </c>
      <c r="B199" s="1229" t="s">
        <v>148</v>
      </c>
      <c r="C199" s="96" t="s">
        <v>329</v>
      </c>
      <c r="D199" s="96" t="s">
        <v>57</v>
      </c>
      <c r="E199" s="96" t="s">
        <v>96</v>
      </c>
      <c r="F199" s="96" t="s">
        <v>97</v>
      </c>
      <c r="G199" s="1229" t="s">
        <v>98</v>
      </c>
    </row>
    <row r="200" spans="1:7">
      <c r="A200" s="1230"/>
      <c r="B200" s="1230"/>
      <c r="C200" s="97" t="s">
        <v>330</v>
      </c>
      <c r="D200" s="97" t="s">
        <v>150</v>
      </c>
      <c r="E200" s="97" t="s">
        <v>369</v>
      </c>
      <c r="F200" s="97"/>
      <c r="G200" s="1230"/>
    </row>
    <row r="201" spans="1:7">
      <c r="A201" s="1229">
        <v>1</v>
      </c>
      <c r="B201" s="73" t="s">
        <v>370</v>
      </c>
      <c r="C201" s="145" t="s">
        <v>280</v>
      </c>
      <c r="D201" s="104" t="s">
        <v>90</v>
      </c>
      <c r="E201" s="134">
        <f>E202*F196</f>
        <v>97.551000000000016</v>
      </c>
      <c r="F201" s="104">
        <v>1</v>
      </c>
      <c r="G201" s="1302">
        <f>E201*F201</f>
        <v>97.551000000000016</v>
      </c>
    </row>
    <row r="202" spans="1:7">
      <c r="A202" s="1230"/>
      <c r="B202" s="74" t="s">
        <v>371</v>
      </c>
      <c r="C202" s="97" t="s">
        <v>372</v>
      </c>
      <c r="D202" s="97" t="s">
        <v>0</v>
      </c>
      <c r="E202" s="97">
        <v>1.35</v>
      </c>
      <c r="F202" s="97"/>
      <c r="G202" s="1314"/>
    </row>
    <row r="203" spans="1:7">
      <c r="A203" s="1229">
        <v>2</v>
      </c>
      <c r="B203" s="73" t="s">
        <v>373</v>
      </c>
      <c r="C203" s="145" t="s">
        <v>280</v>
      </c>
      <c r="D203" s="104" t="s">
        <v>374</v>
      </c>
      <c r="E203" s="134">
        <f>E204*F196</f>
        <v>98.273600000000016</v>
      </c>
      <c r="F203" s="104">
        <f>100*3*1.1/1000</f>
        <v>0.33</v>
      </c>
      <c r="G203" s="1302">
        <f>E203*F203</f>
        <v>32.430288000000004</v>
      </c>
    </row>
    <row r="204" spans="1:7">
      <c r="A204" s="1230"/>
      <c r="B204" s="74" t="s">
        <v>375</v>
      </c>
      <c r="C204" s="97" t="s">
        <v>285</v>
      </c>
      <c r="D204" s="97" t="s">
        <v>0</v>
      </c>
      <c r="E204" s="97">
        <v>1.36</v>
      </c>
      <c r="F204" s="102"/>
      <c r="G204" s="1314"/>
    </row>
    <row r="205" spans="1:7">
      <c r="A205" s="1229">
        <v>3</v>
      </c>
      <c r="B205" s="1220" t="s">
        <v>376</v>
      </c>
      <c r="C205" s="135" t="s">
        <v>377</v>
      </c>
      <c r="D205" s="104" t="s">
        <v>90</v>
      </c>
      <c r="E205" s="126">
        <f>E206*F197</f>
        <v>592.53200000000004</v>
      </c>
      <c r="F205" s="104">
        <v>1</v>
      </c>
      <c r="G205" s="1277">
        <f>E205*F205</f>
        <v>592.53200000000004</v>
      </c>
    </row>
    <row r="206" spans="1:7">
      <c r="A206" s="1230"/>
      <c r="B206" s="1221"/>
      <c r="C206" s="97" t="s">
        <v>283</v>
      </c>
      <c r="D206" s="97" t="s">
        <v>1</v>
      </c>
      <c r="E206" s="97">
        <v>8.1999999999999993</v>
      </c>
      <c r="F206" s="97"/>
      <c r="G206" s="1281"/>
    </row>
    <row r="207" spans="1:7">
      <c r="A207" s="1229" t="s">
        <v>378</v>
      </c>
      <c r="B207" s="73" t="s">
        <v>379</v>
      </c>
      <c r="C207" s="1229" t="s">
        <v>664</v>
      </c>
      <c r="D207" s="1229"/>
      <c r="E207" s="1229">
        <f>ресурсы!D15</f>
        <v>485.24</v>
      </c>
      <c r="F207" s="1229">
        <f>F203*4/5</f>
        <v>0.26400000000000001</v>
      </c>
      <c r="G207" s="1277">
        <f>E207*F207</f>
        <v>128.10336000000001</v>
      </c>
    </row>
    <row r="208" spans="1:7">
      <c r="A208" s="1279"/>
      <c r="B208" s="73" t="s">
        <v>380</v>
      </c>
      <c r="C208" s="1279"/>
      <c r="D208" s="1279"/>
      <c r="E208" s="1279"/>
      <c r="F208" s="1279"/>
      <c r="G208" s="1304"/>
    </row>
    <row r="209" spans="1:17" ht="25.5">
      <c r="A209" s="1230"/>
      <c r="B209" s="74" t="s">
        <v>381</v>
      </c>
      <c r="C209" s="1230"/>
      <c r="D209" s="1230"/>
      <c r="E209" s="1230"/>
      <c r="F209" s="1230"/>
      <c r="G209" s="1281"/>
    </row>
    <row r="210" spans="1:17">
      <c r="A210" s="105" t="s">
        <v>382</v>
      </c>
      <c r="B210" s="149"/>
      <c r="C210" s="47"/>
      <c r="D210" s="47"/>
      <c r="E210" s="47"/>
      <c r="F210" s="47"/>
      <c r="G210" s="137"/>
    </row>
    <row r="211" spans="1:17">
      <c r="A211" s="47"/>
      <c r="B211" s="9" t="s">
        <v>357</v>
      </c>
      <c r="C211" s="47"/>
      <c r="D211" s="47"/>
      <c r="E211" s="47"/>
      <c r="F211" s="146"/>
      <c r="G211" s="137">
        <f>SUM(G201:G209)</f>
        <v>850.61664800000017</v>
      </c>
    </row>
    <row r="212" spans="1:17">
      <c r="A212" s="47"/>
      <c r="B212" s="9" t="s">
        <v>383</v>
      </c>
      <c r="C212" s="47">
        <v>1.2</v>
      </c>
      <c r="D212" s="47"/>
      <c r="E212" s="47"/>
      <c r="F212" s="47"/>
      <c r="G212" s="137">
        <f>G211*C212</f>
        <v>1020.7399776000002</v>
      </c>
    </row>
    <row r="213" spans="1:17">
      <c r="A213" s="47"/>
      <c r="B213" s="9" t="s">
        <v>384</v>
      </c>
      <c r="C213" s="47">
        <v>1.08</v>
      </c>
      <c r="D213" s="47"/>
      <c r="E213" s="47"/>
      <c r="F213" s="47"/>
      <c r="G213" s="137">
        <f>G212*C213</f>
        <v>1102.3991758080003</v>
      </c>
    </row>
    <row r="214" spans="1:17">
      <c r="A214" s="47"/>
      <c r="B214" s="50" t="s">
        <v>132</v>
      </c>
      <c r="C214" s="47">
        <v>1.18</v>
      </c>
      <c r="D214" s="47"/>
      <c r="E214" s="43"/>
      <c r="F214" s="43"/>
      <c r="G214" s="46">
        <f>G213*C214</f>
        <v>1300.8310274534404</v>
      </c>
    </row>
    <row r="218" spans="1:17" s="490" customFormat="1" ht="15">
      <c r="A218" s="1195" t="s">
        <v>781</v>
      </c>
      <c r="B218" s="1196"/>
      <c r="C218" s="1196"/>
      <c r="D218" s="1196"/>
      <c r="E218" s="1196"/>
      <c r="F218" s="1196"/>
      <c r="G218" s="1196"/>
      <c r="H218" s="1196"/>
      <c r="I218" s="1196"/>
      <c r="J218" s="1196"/>
      <c r="K218" s="1196"/>
      <c r="L218" s="1196"/>
      <c r="M218" s="1196"/>
      <c r="N218" s="1196"/>
      <c r="O218" s="1196"/>
      <c r="P218" s="1196"/>
      <c r="Q218" s="1196"/>
    </row>
    <row r="219" spans="1:17" ht="15">
      <c r="B219" s="192"/>
      <c r="C219" s="192"/>
      <c r="D219" s="192"/>
      <c r="E219" s="192"/>
      <c r="F219" s="192"/>
      <c r="G219" s="195"/>
      <c r="H219" s="195"/>
      <c r="I219" s="195"/>
    </row>
    <row r="220" spans="1:17" ht="15">
      <c r="B220" s="192"/>
      <c r="C220" s="192"/>
      <c r="D220" s="192"/>
      <c r="E220" s="192"/>
      <c r="F220" s="192"/>
      <c r="G220" s="195"/>
      <c r="H220" s="195"/>
      <c r="I220" s="195"/>
    </row>
    <row r="221" spans="1:17" ht="15" customHeight="1">
      <c r="B221" s="203" t="s">
        <v>545</v>
      </c>
      <c r="C221" s="192"/>
      <c r="D221" s="1177"/>
      <c r="E221" s="1177"/>
      <c r="F221" s="1177"/>
      <c r="G221" s="1177"/>
      <c r="H221" s="208"/>
      <c r="I221" s="208"/>
    </row>
    <row r="223" spans="1:17">
      <c r="A223" s="193"/>
      <c r="B223" s="193"/>
      <c r="C223" s="193"/>
      <c r="D223" s="193"/>
      <c r="E223" s="193"/>
      <c r="F223" s="193"/>
      <c r="G223" s="193"/>
    </row>
    <row r="224" spans="1:17">
      <c r="A224" s="367"/>
      <c r="B224" s="1325"/>
      <c r="C224" s="1325"/>
      <c r="D224" s="1325"/>
      <c r="E224" s="1325"/>
      <c r="F224" s="1325"/>
      <c r="G224" s="1325"/>
    </row>
    <row r="225" spans="1:7">
      <c r="A225" s="367"/>
      <c r="B225" s="1325"/>
      <c r="C225" s="1325"/>
      <c r="D225" s="1325"/>
      <c r="E225" s="1325"/>
      <c r="F225" s="1325"/>
      <c r="G225" s="1325"/>
    </row>
    <row r="226" spans="1:7">
      <c r="A226" s="367"/>
      <c r="B226" s="193"/>
      <c r="C226" s="193"/>
      <c r="D226" s="193"/>
      <c r="E226" s="193"/>
      <c r="F226" s="193"/>
      <c r="G226" s="193"/>
    </row>
    <row r="227" spans="1:7">
      <c r="A227" s="367"/>
      <c r="B227" s="193"/>
      <c r="C227" s="193"/>
      <c r="D227" s="193"/>
      <c r="E227" s="193"/>
      <c r="F227" s="368"/>
      <c r="G227" s="193"/>
    </row>
    <row r="228" spans="1:7">
      <c r="A228" s="367"/>
      <c r="B228" s="193"/>
      <c r="C228" s="193"/>
      <c r="D228" s="193"/>
      <c r="E228" s="193"/>
      <c r="F228" s="368"/>
      <c r="G228" s="193"/>
    </row>
    <row r="229" spans="1:7">
      <c r="A229" s="367"/>
      <c r="B229" s="193"/>
      <c r="C229" s="193"/>
      <c r="D229" s="193"/>
      <c r="E229" s="193"/>
      <c r="F229" s="368"/>
      <c r="G229" s="193"/>
    </row>
    <row r="230" spans="1:7">
      <c r="A230" s="367"/>
      <c r="B230" s="193"/>
      <c r="C230" s="193"/>
      <c r="D230" s="193"/>
      <c r="E230" s="193"/>
      <c r="F230" s="368"/>
      <c r="G230" s="193"/>
    </row>
    <row r="231" spans="1:7">
      <c r="A231" s="367"/>
      <c r="B231" s="193"/>
      <c r="C231" s="193"/>
      <c r="D231" s="193"/>
      <c r="E231" s="193"/>
      <c r="F231" s="368"/>
      <c r="G231" s="193"/>
    </row>
    <row r="232" spans="1:7">
      <c r="A232" s="367"/>
      <c r="B232" s="193"/>
      <c r="C232" s="193"/>
      <c r="D232" s="193"/>
      <c r="E232" s="193"/>
      <c r="F232" s="193"/>
      <c r="G232" s="193"/>
    </row>
    <row r="233" spans="1:7">
      <c r="A233" s="1321"/>
      <c r="B233" s="1321"/>
      <c r="C233" s="369"/>
      <c r="D233" s="369"/>
      <c r="E233" s="369"/>
      <c r="F233" s="369"/>
      <c r="G233" s="1321"/>
    </row>
    <row r="234" spans="1:7">
      <c r="A234" s="1321"/>
      <c r="B234" s="1321"/>
      <c r="C234" s="369"/>
      <c r="D234" s="369"/>
      <c r="E234" s="369"/>
      <c r="F234" s="369"/>
      <c r="G234" s="1321"/>
    </row>
    <row r="235" spans="1:7">
      <c r="A235" s="1321"/>
      <c r="B235" s="1322"/>
      <c r="C235" s="371"/>
      <c r="D235" s="369"/>
      <c r="E235" s="372"/>
      <c r="F235" s="373"/>
      <c r="G235" s="1324"/>
    </row>
    <row r="236" spans="1:7">
      <c r="A236" s="1321"/>
      <c r="B236" s="1322"/>
      <c r="C236" s="369"/>
      <c r="D236" s="369"/>
      <c r="E236" s="369"/>
      <c r="F236" s="373"/>
      <c r="G236" s="1324"/>
    </row>
    <row r="237" spans="1:7">
      <c r="A237" s="1321"/>
      <c r="B237" s="1322"/>
      <c r="C237" s="371"/>
      <c r="D237" s="369"/>
      <c r="E237" s="374"/>
      <c r="F237" s="373"/>
      <c r="G237" s="1323"/>
    </row>
    <row r="238" spans="1:7">
      <c r="A238" s="1321"/>
      <c r="B238" s="1322"/>
      <c r="C238" s="369"/>
      <c r="D238" s="369"/>
      <c r="E238" s="369"/>
      <c r="F238" s="373"/>
      <c r="G238" s="1324"/>
    </row>
    <row r="239" spans="1:7">
      <c r="A239" s="1321"/>
      <c r="B239" s="1322"/>
      <c r="C239" s="371"/>
      <c r="D239" s="369"/>
      <c r="E239" s="372"/>
      <c r="F239" s="373"/>
      <c r="G239" s="1324"/>
    </row>
    <row r="240" spans="1:7">
      <c r="A240" s="1321"/>
      <c r="B240" s="1322"/>
      <c r="C240" s="369"/>
      <c r="D240" s="369"/>
      <c r="E240" s="369"/>
      <c r="F240" s="369"/>
      <c r="G240" s="1324"/>
    </row>
    <row r="241" spans="1:7">
      <c r="A241" s="1321"/>
      <c r="B241" s="370"/>
      <c r="C241" s="1321"/>
      <c r="D241" s="1321"/>
      <c r="E241" s="1321"/>
      <c r="F241" s="1321"/>
      <c r="G241" s="1324"/>
    </row>
    <row r="242" spans="1:7">
      <c r="A242" s="1321"/>
      <c r="B242" s="370"/>
      <c r="C242" s="1321"/>
      <c r="D242" s="1321"/>
      <c r="E242" s="1321"/>
      <c r="F242" s="1321"/>
      <c r="G242" s="1324"/>
    </row>
    <row r="243" spans="1:7">
      <c r="A243" s="1321"/>
      <c r="B243" s="1322"/>
      <c r="C243" s="369"/>
      <c r="D243" s="369"/>
      <c r="E243" s="372"/>
      <c r="F243" s="373"/>
      <c r="G243" s="1323"/>
    </row>
    <row r="244" spans="1:7">
      <c r="A244" s="1321"/>
      <c r="B244" s="1322"/>
      <c r="C244" s="369"/>
      <c r="D244" s="369"/>
      <c r="E244" s="369"/>
      <c r="F244" s="369"/>
      <c r="G244" s="1324"/>
    </row>
    <row r="245" spans="1:7">
      <c r="A245" s="369"/>
      <c r="B245" s="370"/>
      <c r="C245" s="369"/>
      <c r="D245" s="369"/>
      <c r="E245" s="368"/>
      <c r="F245" s="369"/>
      <c r="G245" s="374"/>
    </row>
    <row r="246" spans="1:7">
      <c r="A246" s="369"/>
      <c r="B246" s="375"/>
      <c r="C246" s="369"/>
      <c r="D246" s="367"/>
      <c r="E246" s="369"/>
      <c r="F246" s="369"/>
      <c r="G246" s="376"/>
    </row>
    <row r="247" spans="1:7">
      <c r="A247" s="369"/>
      <c r="B247" s="375"/>
      <c r="C247" s="369"/>
      <c r="D247" s="369"/>
      <c r="E247" s="369"/>
      <c r="F247" s="369"/>
      <c r="G247" s="377"/>
    </row>
    <row r="248" spans="1:7">
      <c r="A248" s="369"/>
      <c r="B248" s="375"/>
      <c r="C248" s="369"/>
      <c r="D248" s="367"/>
      <c r="E248" s="369"/>
      <c r="F248" s="369"/>
      <c r="G248" s="377"/>
    </row>
    <row r="249" spans="1:7">
      <c r="A249" s="369"/>
      <c r="B249" s="375"/>
      <c r="C249" s="369"/>
      <c r="D249" s="367"/>
      <c r="E249" s="369"/>
      <c r="F249" s="369"/>
      <c r="G249" s="377"/>
    </row>
    <row r="250" spans="1:7">
      <c r="A250" s="193"/>
      <c r="B250" s="196"/>
      <c r="C250" s="193"/>
      <c r="D250" s="193"/>
      <c r="E250" s="197"/>
      <c r="F250" s="197"/>
      <c r="G250" s="198"/>
    </row>
    <row r="251" spans="1:7">
      <c r="A251" s="193"/>
      <c r="B251" s="196"/>
      <c r="C251" s="193"/>
      <c r="D251" s="193"/>
      <c r="E251" s="197"/>
      <c r="F251" s="197"/>
      <c r="G251" s="198"/>
    </row>
    <row r="252" spans="1:7">
      <c r="A252" s="193"/>
      <c r="B252" s="196"/>
      <c r="C252" s="193"/>
      <c r="D252" s="193"/>
      <c r="E252" s="197"/>
      <c r="F252" s="197"/>
      <c r="G252" s="198"/>
    </row>
    <row r="253" spans="1:7" ht="15">
      <c r="A253" s="193"/>
      <c r="B253" s="378"/>
      <c r="C253" s="378"/>
      <c r="D253" s="1326"/>
      <c r="E253" s="1326"/>
      <c r="F253" s="1326"/>
      <c r="G253" s="1326"/>
    </row>
    <row r="254" spans="1:7" ht="15">
      <c r="A254" s="193"/>
      <c r="B254" s="378"/>
      <c r="C254" s="378"/>
      <c r="D254" s="378"/>
      <c r="E254" s="378"/>
      <c r="F254" s="378"/>
      <c r="G254" s="362"/>
    </row>
    <row r="255" spans="1:7" ht="15">
      <c r="A255" s="193"/>
      <c r="B255" s="378"/>
      <c r="C255" s="378"/>
      <c r="D255" s="378"/>
      <c r="E255" s="378"/>
      <c r="F255" s="378"/>
      <c r="G255" s="362"/>
    </row>
    <row r="256" spans="1:7" ht="15">
      <c r="A256" s="193"/>
      <c r="B256" s="378"/>
      <c r="C256" s="378"/>
      <c r="D256" s="1326"/>
      <c r="E256" s="1326"/>
      <c r="F256" s="1326"/>
      <c r="G256" s="1326"/>
    </row>
    <row r="257" spans="1:7">
      <c r="A257" s="193"/>
      <c r="B257" s="196"/>
      <c r="C257" s="193"/>
      <c r="D257" s="193"/>
      <c r="E257" s="197"/>
      <c r="F257" s="197"/>
      <c r="G257" s="198"/>
    </row>
  </sheetData>
  <mergeCells count="160">
    <mergeCell ref="D253:G253"/>
    <mergeCell ref="D256:G256"/>
    <mergeCell ref="A243:A244"/>
    <mergeCell ref="B243:B244"/>
    <mergeCell ref="G243:G244"/>
    <mergeCell ref="A241:A242"/>
    <mergeCell ref="C241:C242"/>
    <mergeCell ref="D241:D242"/>
    <mergeCell ref="E241:E242"/>
    <mergeCell ref="F241:F242"/>
    <mergeCell ref="G241:G242"/>
    <mergeCell ref="A237:A238"/>
    <mergeCell ref="B237:B238"/>
    <mergeCell ref="G237:G238"/>
    <mergeCell ref="A239:A240"/>
    <mergeCell ref="B239:B240"/>
    <mergeCell ref="G239:G240"/>
    <mergeCell ref="B224:G224"/>
    <mergeCell ref="B225:G225"/>
    <mergeCell ref="A233:A234"/>
    <mergeCell ref="B233:B234"/>
    <mergeCell ref="G233:G234"/>
    <mergeCell ref="A235:A236"/>
    <mergeCell ref="B235:B236"/>
    <mergeCell ref="G235:G236"/>
    <mergeCell ref="D221:G221"/>
    <mergeCell ref="D45:G45"/>
    <mergeCell ref="D48:G48"/>
    <mergeCell ref="D114:G114"/>
    <mergeCell ref="D117:G117"/>
    <mergeCell ref="C160:G160"/>
    <mergeCell ref="C163:G163"/>
    <mergeCell ref="B193:G193"/>
    <mergeCell ref="B194:G194"/>
    <mergeCell ref="B135:B136"/>
    <mergeCell ref="G135:G136"/>
    <mergeCell ref="G94:G95"/>
    <mergeCell ref="F96:F98"/>
    <mergeCell ref="G62:G64"/>
    <mergeCell ref="G178:G179"/>
    <mergeCell ref="A218:Q218"/>
    <mergeCell ref="A199:A200"/>
    <mergeCell ref="B199:B200"/>
    <mergeCell ref="F207:F209"/>
    <mergeCell ref="G207:G209"/>
    <mergeCell ref="A207:A209"/>
    <mergeCell ref="C207:C209"/>
    <mergeCell ref="D207:D209"/>
    <mergeCell ref="E207:E209"/>
    <mergeCell ref="G199:G200"/>
    <mergeCell ref="A201:A202"/>
    <mergeCell ref="G201:G202"/>
    <mergeCell ref="A205:A206"/>
    <mergeCell ref="B205:B206"/>
    <mergeCell ref="G205:G206"/>
    <mergeCell ref="A203:A204"/>
    <mergeCell ref="G203:G204"/>
    <mergeCell ref="A149:A151"/>
    <mergeCell ref="C149:C151"/>
    <mergeCell ref="B171:G171"/>
    <mergeCell ref="B172:G172"/>
    <mergeCell ref="A180:A181"/>
    <mergeCell ref="B180:B181"/>
    <mergeCell ref="G180:G181"/>
    <mergeCell ref="A182:A183"/>
    <mergeCell ref="A178:A179"/>
    <mergeCell ref="B178:B179"/>
    <mergeCell ref="A163:B163"/>
    <mergeCell ref="C140:C141"/>
    <mergeCell ref="A143:A144"/>
    <mergeCell ref="G143:G144"/>
    <mergeCell ref="A145:A146"/>
    <mergeCell ref="G145:G146"/>
    <mergeCell ref="A147:A148"/>
    <mergeCell ref="C137:C139"/>
    <mergeCell ref="A99:A100"/>
    <mergeCell ref="G99:G100"/>
    <mergeCell ref="A101:A102"/>
    <mergeCell ref="G101:G102"/>
    <mergeCell ref="A103:A105"/>
    <mergeCell ref="C103:C105"/>
    <mergeCell ref="B127:G127"/>
    <mergeCell ref="B128:G128"/>
    <mergeCell ref="A135:A136"/>
    <mergeCell ref="A91:A93"/>
    <mergeCell ref="C91:C93"/>
    <mergeCell ref="A94:A95"/>
    <mergeCell ref="G96:G98"/>
    <mergeCell ref="B78:G78"/>
    <mergeCell ref="B79:G79"/>
    <mergeCell ref="A86:A87"/>
    <mergeCell ref="B86:B87"/>
    <mergeCell ref="G86:G87"/>
    <mergeCell ref="C88:C90"/>
    <mergeCell ref="A96:A98"/>
    <mergeCell ref="D96:D98"/>
    <mergeCell ref="E96:E98"/>
    <mergeCell ref="A65:A69"/>
    <mergeCell ref="C66:C67"/>
    <mergeCell ref="A70:A71"/>
    <mergeCell ref="B70:B71"/>
    <mergeCell ref="G70:G71"/>
    <mergeCell ref="A62:A64"/>
    <mergeCell ref="B62:B64"/>
    <mergeCell ref="C62:C64"/>
    <mergeCell ref="D62:D63"/>
    <mergeCell ref="E62:E63"/>
    <mergeCell ref="F62:F63"/>
    <mergeCell ref="A60:A61"/>
    <mergeCell ref="B60:B61"/>
    <mergeCell ref="C60:C61"/>
    <mergeCell ref="C28:C29"/>
    <mergeCell ref="G60:G61"/>
    <mergeCell ref="G30:G31"/>
    <mergeCell ref="A33:A35"/>
    <mergeCell ref="C33:C35"/>
    <mergeCell ref="D33:D35"/>
    <mergeCell ref="E33:E35"/>
    <mergeCell ref="F33:F35"/>
    <mergeCell ref="G33:G35"/>
    <mergeCell ref="A24:A25"/>
    <mergeCell ref="B24:B25"/>
    <mergeCell ref="G24:G25"/>
    <mergeCell ref="A26:A27"/>
    <mergeCell ref="A36:A37"/>
    <mergeCell ref="B36:B37"/>
    <mergeCell ref="G36:G37"/>
    <mergeCell ref="B53:G53"/>
    <mergeCell ref="B54:G54"/>
    <mergeCell ref="B26:B27"/>
    <mergeCell ref="G26:G27"/>
    <mergeCell ref="D28:D29"/>
    <mergeCell ref="E28:E29"/>
    <mergeCell ref="A30:A31"/>
    <mergeCell ref="B30:B31"/>
    <mergeCell ref="F28:F29"/>
    <mergeCell ref="G28:G29"/>
    <mergeCell ref="A28:A29"/>
    <mergeCell ref="B1:G1"/>
    <mergeCell ref="B2:G2"/>
    <mergeCell ref="A10:A11"/>
    <mergeCell ref="B10:B11"/>
    <mergeCell ref="G10:G11"/>
    <mergeCell ref="A20:A21"/>
    <mergeCell ref="G20:G21"/>
    <mergeCell ref="A22:A23"/>
    <mergeCell ref="A12:A13"/>
    <mergeCell ref="B12:B13"/>
    <mergeCell ref="G12:G13"/>
    <mergeCell ref="A18:A19"/>
    <mergeCell ref="B18:B19"/>
    <mergeCell ref="G18:G19"/>
    <mergeCell ref="A14:A15"/>
    <mergeCell ref="B14:B15"/>
    <mergeCell ref="B22:B23"/>
    <mergeCell ref="G22:G23"/>
    <mergeCell ref="G14:G15"/>
    <mergeCell ref="A16:A17"/>
    <mergeCell ref="B16:B17"/>
    <mergeCell ref="G16:G17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scale="47" fitToHeight="4" orientation="portrait" r:id="rId1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>
  <dimension ref="A1:Q42"/>
  <sheetViews>
    <sheetView topLeftCell="A34" workbookViewId="0">
      <selection activeCell="J9" sqref="J9"/>
    </sheetView>
  </sheetViews>
  <sheetFormatPr defaultRowHeight="12.75"/>
  <cols>
    <col min="1" max="1" width="3.7109375" style="38" customWidth="1"/>
    <col min="2" max="2" width="25.85546875" style="38" customWidth="1"/>
    <col min="3" max="3" width="14.140625" style="38" customWidth="1"/>
    <col min="4" max="16384" width="9.140625" style="38"/>
  </cols>
  <sheetData>
    <row r="1" spans="1:7">
      <c r="A1" s="15" t="s">
        <v>385</v>
      </c>
      <c r="B1" s="1171" t="s">
        <v>709</v>
      </c>
      <c r="C1" s="1171"/>
      <c r="D1" s="1171"/>
      <c r="E1" s="1171"/>
      <c r="F1" s="1171"/>
      <c r="G1" s="1171"/>
    </row>
    <row r="2" spans="1:7">
      <c r="A2" s="15"/>
      <c r="B2" s="1171" t="s">
        <v>48</v>
      </c>
      <c r="C2" s="1171"/>
      <c r="D2" s="1171"/>
      <c r="E2" s="1171"/>
      <c r="F2" s="1171"/>
      <c r="G2" s="1171"/>
    </row>
    <row r="3" spans="1:7">
      <c r="A3" s="15"/>
      <c r="B3" s="1171" t="s">
        <v>386</v>
      </c>
      <c r="C3" s="1171"/>
      <c r="D3" s="1171"/>
      <c r="E3" s="1171"/>
      <c r="F3" s="1171"/>
      <c r="G3" s="1171"/>
    </row>
    <row r="4" spans="1:7">
      <c r="A4" s="15"/>
    </row>
    <row r="5" spans="1:7">
      <c r="A5" s="15"/>
      <c r="E5" s="38" t="s">
        <v>87</v>
      </c>
      <c r="F5" s="38">
        <f>ресурсы!D4</f>
        <v>72.260000000000005</v>
      </c>
      <c r="G5" s="38" t="s">
        <v>88</v>
      </c>
    </row>
    <row r="6" spans="1:7">
      <c r="A6" s="15"/>
      <c r="E6" s="38" t="s">
        <v>387</v>
      </c>
      <c r="F6" s="125">
        <f>ресурсы!D5</f>
        <v>72.260000000000005</v>
      </c>
      <c r="G6" s="38" t="s">
        <v>88</v>
      </c>
    </row>
    <row r="7" spans="1:7">
      <c r="A7" s="15"/>
      <c r="E7" s="38" t="s">
        <v>2</v>
      </c>
      <c r="F7" s="125">
        <f>ресурсы!D6</f>
        <v>72.260000000000005</v>
      </c>
      <c r="G7" s="38" t="s">
        <v>88</v>
      </c>
    </row>
    <row r="8" spans="1:7">
      <c r="A8" s="15"/>
      <c r="B8" s="38" t="s">
        <v>86</v>
      </c>
    </row>
    <row r="9" spans="1:7">
      <c r="A9" s="15"/>
      <c r="B9" s="38" t="s">
        <v>89</v>
      </c>
      <c r="F9" s="38" t="s">
        <v>90</v>
      </c>
    </row>
    <row r="10" spans="1:7">
      <c r="A10" s="1229" t="s">
        <v>26</v>
      </c>
      <c r="B10" s="1229" t="s">
        <v>148</v>
      </c>
      <c r="C10" s="96" t="s">
        <v>329</v>
      </c>
      <c r="D10" s="96" t="s">
        <v>57</v>
      </c>
      <c r="E10" s="96" t="s">
        <v>96</v>
      </c>
      <c r="F10" s="96" t="s">
        <v>97</v>
      </c>
      <c r="G10" s="1229" t="s">
        <v>98</v>
      </c>
    </row>
    <row r="11" spans="1:7">
      <c r="A11" s="1230"/>
      <c r="B11" s="1230"/>
      <c r="C11" s="97" t="s">
        <v>330</v>
      </c>
      <c r="D11" s="97" t="s">
        <v>150</v>
      </c>
      <c r="E11" s="97" t="s">
        <v>388</v>
      </c>
      <c r="F11" s="97" t="s">
        <v>389</v>
      </c>
      <c r="G11" s="1230"/>
    </row>
    <row r="12" spans="1:7" ht="25.5">
      <c r="A12" s="1229">
        <v>1</v>
      </c>
      <c r="B12" s="73" t="s">
        <v>390</v>
      </c>
      <c r="C12" s="1327" t="s">
        <v>287</v>
      </c>
      <c r="D12" s="104" t="s">
        <v>288</v>
      </c>
      <c r="E12" s="126">
        <f>E13*F7</f>
        <v>229.0642</v>
      </c>
      <c r="F12" s="104">
        <v>0.2</v>
      </c>
      <c r="G12" s="1330">
        <f>E12*F12</f>
        <v>45.812840000000001</v>
      </c>
    </row>
    <row r="13" spans="1:7" ht="25.5">
      <c r="A13" s="1279"/>
      <c r="B13" s="73" t="s">
        <v>391</v>
      </c>
      <c r="C13" s="1328"/>
      <c r="D13" s="104" t="s">
        <v>2</v>
      </c>
      <c r="E13" s="104">
        <v>3.17</v>
      </c>
      <c r="F13" s="104"/>
      <c r="G13" s="1331"/>
    </row>
    <row r="14" spans="1:7" ht="38.25">
      <c r="A14" s="1230"/>
      <c r="B14" s="74" t="s">
        <v>392</v>
      </c>
      <c r="C14" s="1329"/>
      <c r="D14" s="133"/>
      <c r="E14" s="133"/>
      <c r="F14" s="133"/>
      <c r="G14" s="1332"/>
    </row>
    <row r="15" spans="1:7" ht="25.5">
      <c r="A15" s="18">
        <v>2</v>
      </c>
      <c r="B15" s="74" t="s">
        <v>393</v>
      </c>
      <c r="C15" s="97" t="s">
        <v>430</v>
      </c>
      <c r="D15" s="97" t="s">
        <v>8</v>
      </c>
      <c r="E15" s="97">
        <f>ресурсы!D13</f>
        <v>599.5</v>
      </c>
      <c r="F15" s="97">
        <v>0.9</v>
      </c>
      <c r="G15" s="102">
        <f>E15*F15</f>
        <v>539.55000000000007</v>
      </c>
    </row>
    <row r="16" spans="1:7" ht="25.5">
      <c r="A16" s="1229">
        <v>3</v>
      </c>
      <c r="B16" s="73" t="s">
        <v>394</v>
      </c>
      <c r="C16" s="1327" t="s">
        <v>280</v>
      </c>
      <c r="D16" s="104" t="s">
        <v>90</v>
      </c>
      <c r="E16" s="126">
        <f>E17*F6</f>
        <v>677.07619999999997</v>
      </c>
      <c r="F16" s="104">
        <v>1</v>
      </c>
      <c r="G16" s="1229">
        <f>E16*F16</f>
        <v>677.07619999999997</v>
      </c>
    </row>
    <row r="17" spans="1:7" ht="25.5">
      <c r="A17" s="1230"/>
      <c r="B17" s="74" t="s">
        <v>395</v>
      </c>
      <c r="C17" s="1329"/>
      <c r="D17" s="97" t="s">
        <v>1</v>
      </c>
      <c r="E17" s="97">
        <v>9.3699999999999992</v>
      </c>
      <c r="F17" s="97"/>
      <c r="G17" s="1230"/>
    </row>
    <row r="18" spans="1:7" ht="25.5">
      <c r="A18" s="1229">
        <v>4</v>
      </c>
      <c r="B18" s="73" t="s">
        <v>396</v>
      </c>
      <c r="C18" s="1229" t="s">
        <v>303</v>
      </c>
      <c r="D18" s="104" t="s">
        <v>397</v>
      </c>
      <c r="E18" s="104">
        <f>ресурсы!D22</f>
        <v>10.72</v>
      </c>
      <c r="F18" s="126">
        <v>2.5</v>
      </c>
      <c r="G18" s="126">
        <f>E18*F18</f>
        <v>26.8</v>
      </c>
    </row>
    <row r="19" spans="1:7">
      <c r="A19" s="1279"/>
      <c r="B19" s="73" t="s">
        <v>398</v>
      </c>
      <c r="C19" s="1303"/>
      <c r="D19" s="104" t="s">
        <v>397</v>
      </c>
      <c r="E19" s="104">
        <f>ресурсы!D20</f>
        <v>19.07</v>
      </c>
      <c r="F19" s="126">
        <v>6</v>
      </c>
      <c r="G19" s="104">
        <f>E19*F19</f>
        <v>114.42</v>
      </c>
    </row>
    <row r="20" spans="1:7">
      <c r="A20" s="1279"/>
      <c r="B20" s="73" t="s">
        <v>399</v>
      </c>
      <c r="C20" s="1303"/>
      <c r="D20" s="104" t="s">
        <v>397</v>
      </c>
      <c r="E20" s="104">
        <f>ресурсы!D21</f>
        <v>26.69</v>
      </c>
      <c r="F20" s="126">
        <v>3</v>
      </c>
      <c r="G20" s="104">
        <f>E20*F20</f>
        <v>80.070000000000007</v>
      </c>
    </row>
    <row r="21" spans="1:7">
      <c r="A21" s="1230"/>
      <c r="B21" s="74" t="s">
        <v>400</v>
      </c>
      <c r="C21" s="133"/>
      <c r="D21" s="133"/>
      <c r="E21" s="133"/>
      <c r="F21" s="133"/>
      <c r="G21" s="133"/>
    </row>
    <row r="22" spans="1:7">
      <c r="A22" s="1229">
        <v>5</v>
      </c>
      <c r="B22" s="73" t="s">
        <v>347</v>
      </c>
      <c r="C22" s="150" t="s">
        <v>401</v>
      </c>
      <c r="D22" s="104" t="s">
        <v>113</v>
      </c>
      <c r="E22" s="134">
        <f>E23*F5</f>
        <v>80.208600000000018</v>
      </c>
      <c r="F22" s="104">
        <f>100*0.2*1/1000</f>
        <v>0.02</v>
      </c>
      <c r="G22" s="134">
        <f>E22*F22</f>
        <v>1.6041720000000004</v>
      </c>
    </row>
    <row r="23" spans="1:7">
      <c r="A23" s="1279"/>
      <c r="B23" s="73" t="s">
        <v>402</v>
      </c>
      <c r="C23" s="104" t="s">
        <v>285</v>
      </c>
      <c r="D23" s="104" t="s">
        <v>0</v>
      </c>
      <c r="E23" s="104">
        <v>1.1100000000000001</v>
      </c>
      <c r="F23" s="126"/>
      <c r="G23" s="104"/>
    </row>
    <row r="24" spans="1:7" ht="25.5">
      <c r="A24" s="1229">
        <v>6</v>
      </c>
      <c r="B24" s="73" t="s">
        <v>403</v>
      </c>
      <c r="C24" s="1229" t="s">
        <v>430</v>
      </c>
      <c r="D24" s="1229" t="s">
        <v>8</v>
      </c>
      <c r="E24" s="1277">
        <f>ресурсы!D15</f>
        <v>485.24</v>
      </c>
      <c r="F24" s="1229">
        <f>F22*4/5</f>
        <v>1.6E-2</v>
      </c>
      <c r="G24" s="1277">
        <f>E24*F24</f>
        <v>7.7638400000000001</v>
      </c>
    </row>
    <row r="25" spans="1:7" ht="25.5">
      <c r="A25" s="1230"/>
      <c r="B25" s="74" t="s">
        <v>404</v>
      </c>
      <c r="C25" s="1230"/>
      <c r="D25" s="1230"/>
      <c r="E25" s="1230"/>
      <c r="F25" s="1230"/>
      <c r="G25" s="1281"/>
    </row>
    <row r="26" spans="1:7" ht="25.5">
      <c r="A26" s="18"/>
      <c r="B26" s="75" t="s">
        <v>405</v>
      </c>
      <c r="C26" s="47"/>
      <c r="D26" s="18"/>
      <c r="E26" s="18"/>
      <c r="F26" s="18"/>
      <c r="G26" s="101">
        <f>SUM(G12:G25)</f>
        <v>1493.0970520000003</v>
      </c>
    </row>
    <row r="27" spans="1:7">
      <c r="A27" s="18"/>
      <c r="B27" s="72" t="s">
        <v>163</v>
      </c>
      <c r="C27" s="47">
        <v>1.2</v>
      </c>
      <c r="D27" s="18"/>
      <c r="E27" s="18"/>
      <c r="F27" s="18"/>
      <c r="G27" s="101">
        <f>G26*C27</f>
        <v>1791.7164624000004</v>
      </c>
    </row>
    <row r="28" spans="1:7">
      <c r="A28" s="18"/>
      <c r="B28" s="72" t="s">
        <v>164</v>
      </c>
      <c r="C28" s="47">
        <v>1.08</v>
      </c>
      <c r="D28" s="18"/>
      <c r="E28" s="18"/>
      <c r="F28" s="18"/>
      <c r="G28" s="101">
        <f>G27*C28</f>
        <v>1935.0537793920005</v>
      </c>
    </row>
    <row r="29" spans="1:7">
      <c r="A29" s="18"/>
      <c r="B29" s="149" t="s">
        <v>238</v>
      </c>
      <c r="C29" s="152">
        <v>1.18</v>
      </c>
      <c r="D29" s="18"/>
      <c r="E29" s="18"/>
      <c r="F29" s="18"/>
      <c r="G29" s="240">
        <f>G28*C29</f>
        <v>2283.3634596825605</v>
      </c>
    </row>
    <row r="30" spans="1:7" ht="25.5">
      <c r="A30" s="18"/>
      <c r="B30" s="75" t="s">
        <v>406</v>
      </c>
      <c r="C30" s="47"/>
      <c r="D30" s="18"/>
      <c r="E30" s="18"/>
      <c r="F30" s="18"/>
      <c r="G30" s="101">
        <f>G12+G15+G22+G24</f>
        <v>594.73085200000003</v>
      </c>
    </row>
    <row r="31" spans="1:7">
      <c r="A31" s="18"/>
      <c r="B31" s="72" t="s">
        <v>163</v>
      </c>
      <c r="C31" s="47">
        <v>1.2</v>
      </c>
      <c r="D31" s="18"/>
      <c r="E31" s="18"/>
      <c r="F31" s="18"/>
      <c r="G31" s="101">
        <f>G30*C31</f>
        <v>713.67702240000006</v>
      </c>
    </row>
    <row r="32" spans="1:7">
      <c r="A32" s="18"/>
      <c r="B32" s="72" t="s">
        <v>164</v>
      </c>
      <c r="C32" s="47">
        <v>1.08</v>
      </c>
      <c r="D32" s="18"/>
      <c r="E32" s="18"/>
      <c r="F32" s="18"/>
      <c r="G32" s="101">
        <f>G31*C32</f>
        <v>770.77118419200008</v>
      </c>
    </row>
    <row r="33" spans="1:17">
      <c r="A33" s="18"/>
      <c r="B33" s="149" t="s">
        <v>238</v>
      </c>
      <c r="C33" s="152">
        <v>1.18</v>
      </c>
      <c r="D33" s="18"/>
      <c r="E33" s="18"/>
      <c r="F33" s="18"/>
      <c r="G33" s="240">
        <f>G32*C33</f>
        <v>909.50999734656</v>
      </c>
    </row>
    <row r="39" spans="1:17" s="490" customFormat="1" ht="15">
      <c r="A39" s="1195" t="s">
        <v>781</v>
      </c>
      <c r="B39" s="1196"/>
      <c r="C39" s="1196"/>
      <c r="D39" s="1196"/>
      <c r="E39" s="1196"/>
      <c r="F39" s="1196"/>
      <c r="G39" s="1196"/>
      <c r="H39" s="1196"/>
      <c r="I39" s="1196"/>
      <c r="J39" s="1196"/>
      <c r="K39" s="1196"/>
      <c r="L39" s="1196"/>
      <c r="M39" s="1196"/>
      <c r="N39" s="1196"/>
      <c r="O39" s="1196"/>
      <c r="P39" s="1196"/>
      <c r="Q39" s="1196"/>
    </row>
    <row r="40" spans="1:17" ht="15">
      <c r="B40" s="192"/>
      <c r="C40" s="192"/>
      <c r="D40" s="192"/>
      <c r="E40" s="192"/>
      <c r="F40" s="192"/>
      <c r="G40" s="195"/>
      <c r="H40" s="195"/>
      <c r="I40" s="195"/>
    </row>
    <row r="41" spans="1:17" ht="15">
      <c r="B41" s="192"/>
      <c r="C41" s="192"/>
      <c r="D41" s="192"/>
      <c r="E41" s="192"/>
      <c r="F41" s="192"/>
      <c r="G41" s="195"/>
      <c r="H41" s="195"/>
      <c r="I41" s="195"/>
    </row>
    <row r="42" spans="1:17" ht="15">
      <c r="B42" s="192" t="s">
        <v>545</v>
      </c>
      <c r="C42" s="192"/>
      <c r="D42" s="1164"/>
      <c r="E42" s="1164"/>
      <c r="F42" s="1164"/>
      <c r="G42" s="1164"/>
      <c r="H42" s="1164"/>
      <c r="I42" s="1164"/>
    </row>
  </sheetData>
  <mergeCells count="23">
    <mergeCell ref="E24:E25"/>
    <mergeCell ref="F24:F25"/>
    <mergeCell ref="G24:G25"/>
    <mergeCell ref="A18:A21"/>
    <mergeCell ref="C18:C20"/>
    <mergeCell ref="A22:A23"/>
    <mergeCell ref="A24:A25"/>
    <mergeCell ref="D42:I42"/>
    <mergeCell ref="B1:G1"/>
    <mergeCell ref="B2:G2"/>
    <mergeCell ref="B3:G3"/>
    <mergeCell ref="C24:C25"/>
    <mergeCell ref="D24:D25"/>
    <mergeCell ref="A39:Q39"/>
    <mergeCell ref="A10:A11"/>
    <mergeCell ref="B10:B11"/>
    <mergeCell ref="G10:G11"/>
    <mergeCell ref="A12:A14"/>
    <mergeCell ref="C12:C14"/>
    <mergeCell ref="G12:G14"/>
    <mergeCell ref="A16:A17"/>
    <mergeCell ref="C16:C17"/>
    <mergeCell ref="G16:G17"/>
  </mergeCells>
  <phoneticPr fontId="1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4:BB24"/>
  <sheetViews>
    <sheetView workbookViewId="0">
      <selection activeCell="D30" sqref="D30"/>
    </sheetView>
  </sheetViews>
  <sheetFormatPr defaultRowHeight="15"/>
  <cols>
    <col min="1" max="1" width="11.7109375" customWidth="1"/>
    <col min="2" max="3" width="11.42578125" bestFit="1" customWidth="1"/>
    <col min="5" max="5" width="12.5703125" customWidth="1"/>
    <col min="8" max="8" width="10" bestFit="1" customWidth="1"/>
    <col min="9" max="9" width="11" customWidth="1"/>
    <col min="13" max="13" width="10" bestFit="1" customWidth="1"/>
    <col min="15" max="15" width="10" bestFit="1" customWidth="1"/>
    <col min="17" max="17" width="10.42578125" bestFit="1" customWidth="1"/>
    <col min="19" max="19" width="9.5703125" bestFit="1" customWidth="1"/>
    <col min="21" max="21" width="12.140625" bestFit="1" customWidth="1"/>
    <col min="22" max="22" width="9.5703125" bestFit="1" customWidth="1"/>
    <col min="24" max="24" width="10" bestFit="1" customWidth="1"/>
    <col min="26" max="26" width="10.42578125" bestFit="1" customWidth="1"/>
    <col min="28" max="28" width="10" bestFit="1" customWidth="1"/>
    <col min="30" max="30" width="11.28515625" bestFit="1" customWidth="1"/>
    <col min="32" max="32" width="11.28515625" bestFit="1" customWidth="1"/>
    <col min="36" max="36" width="9.5703125" bestFit="1" customWidth="1"/>
    <col min="38" max="38" width="12.7109375" customWidth="1"/>
    <col min="39" max="41" width="9.140625" hidden="1" customWidth="1"/>
    <col min="42" max="42" width="9" hidden="1" customWidth="1"/>
    <col min="43" max="43" width="7.140625" hidden="1" customWidth="1"/>
    <col min="44" max="44" width="7.7109375" hidden="1" customWidth="1"/>
    <col min="45" max="45" width="8.42578125" hidden="1" customWidth="1"/>
    <col min="46" max="46" width="13.5703125" hidden="1" customWidth="1"/>
  </cols>
  <sheetData>
    <row r="4" spans="1:54">
      <c r="A4" s="1074" t="s">
        <v>937</v>
      </c>
      <c r="B4" s="1074"/>
      <c r="C4" s="1074"/>
      <c r="D4" s="1074"/>
      <c r="E4" s="1074"/>
      <c r="F4" s="1074"/>
      <c r="G4" s="1074"/>
      <c r="H4" s="1074"/>
      <c r="I4" s="1074"/>
      <c r="J4" s="1074"/>
      <c r="K4" s="1074"/>
      <c r="L4" s="1074"/>
      <c r="M4" s="1074"/>
      <c r="N4" s="1074"/>
      <c r="O4" s="1074"/>
      <c r="P4" s="1074"/>
      <c r="Q4" s="1074"/>
      <c r="R4" s="1074"/>
      <c r="S4" s="1074"/>
      <c r="T4" s="1074"/>
      <c r="U4" s="1074"/>
      <c r="V4" s="1074"/>
      <c r="W4" s="1074"/>
      <c r="X4" s="1074"/>
      <c r="Y4" s="1074"/>
      <c r="Z4" s="1074"/>
      <c r="AA4" s="1074"/>
      <c r="AB4" s="1074"/>
      <c r="AC4" s="1074"/>
      <c r="AD4" s="1074"/>
      <c r="AE4" s="1074"/>
      <c r="AF4" s="1074"/>
      <c r="AG4" s="1074"/>
      <c r="AH4" s="1074"/>
      <c r="AI4" s="1074"/>
      <c r="AJ4" s="1074"/>
      <c r="AK4" s="1074"/>
      <c r="AL4" s="1074"/>
    </row>
    <row r="5" spans="1:54" ht="15.75" thickBot="1">
      <c r="A5" s="171"/>
      <c r="B5" s="171"/>
      <c r="C5" s="171"/>
      <c r="D5" s="171"/>
      <c r="E5" s="1075" t="s">
        <v>936</v>
      </c>
      <c r="F5" s="1075"/>
      <c r="G5" s="1075"/>
      <c r="H5" s="171">
        <f>1.078*1.063</f>
        <v>1.1459140000000001</v>
      </c>
      <c r="I5" s="171"/>
      <c r="J5" s="171"/>
      <c r="K5" s="171"/>
      <c r="L5" s="171"/>
      <c r="M5" s="171"/>
      <c r="N5" s="171"/>
      <c r="O5" s="171"/>
      <c r="P5" s="171"/>
      <c r="Q5" s="171"/>
      <c r="R5" s="171"/>
      <c r="S5" s="171"/>
      <c r="T5" s="171"/>
      <c r="U5" s="171"/>
      <c r="V5" s="171"/>
      <c r="W5" s="171"/>
      <c r="X5" s="171"/>
      <c r="Y5" s="171"/>
      <c r="Z5" s="171"/>
      <c r="AA5" s="171"/>
      <c r="AB5" s="171"/>
      <c r="AC5" s="171"/>
      <c r="AD5" s="171"/>
      <c r="AE5" s="171"/>
      <c r="AF5" s="171"/>
      <c r="AG5" s="171"/>
      <c r="AH5" s="171"/>
      <c r="AI5" s="171"/>
      <c r="AJ5" s="171"/>
      <c r="AK5" s="171"/>
      <c r="AL5" s="171"/>
    </row>
    <row r="6" spans="1:54" ht="15.75" thickBot="1">
      <c r="A6" s="1076" t="s">
        <v>445</v>
      </c>
      <c r="B6" s="1079" t="s">
        <v>446</v>
      </c>
      <c r="C6" s="1080" t="s">
        <v>447</v>
      </c>
      <c r="D6" s="1083" t="s">
        <v>448</v>
      </c>
      <c r="E6" s="1084"/>
      <c r="F6" s="1084"/>
      <c r="G6" s="1085"/>
      <c r="H6" s="1089" t="s">
        <v>543</v>
      </c>
      <c r="I6" s="1090"/>
      <c r="J6" s="1083" t="s">
        <v>473</v>
      </c>
      <c r="K6" s="1084"/>
      <c r="L6" s="1084"/>
      <c r="M6" s="1084"/>
      <c r="N6" s="1084"/>
      <c r="O6" s="1084"/>
      <c r="P6" s="1092"/>
      <c r="Q6" s="1092"/>
      <c r="R6" s="1092"/>
      <c r="S6" s="1093"/>
      <c r="T6" s="1094" t="s">
        <v>449</v>
      </c>
      <c r="U6" s="1095"/>
      <c r="V6" s="1095"/>
      <c r="W6" s="1096"/>
      <c r="X6" s="1097"/>
      <c r="Y6" s="1098" t="s">
        <v>450</v>
      </c>
      <c r="Z6" s="1099"/>
      <c r="AA6" s="1099"/>
      <c r="AB6" s="1100"/>
      <c r="AC6" s="1098" t="s">
        <v>452</v>
      </c>
      <c r="AD6" s="1096"/>
      <c r="AE6" s="1098" t="s">
        <v>453</v>
      </c>
      <c r="AF6" s="1096"/>
      <c r="AG6" s="1096"/>
      <c r="AH6" s="1097"/>
      <c r="AI6" s="1098" t="s">
        <v>454</v>
      </c>
      <c r="AJ6" s="1096"/>
      <c r="AK6" s="1096"/>
      <c r="AL6" s="1097"/>
      <c r="AQ6" s="1098" t="s">
        <v>699</v>
      </c>
      <c r="AR6" s="1096"/>
      <c r="AS6" s="1096"/>
      <c r="AT6" s="1096"/>
      <c r="AU6" s="409" t="s">
        <v>702</v>
      </c>
      <c r="AV6" s="408"/>
      <c r="AW6" s="409" t="s">
        <v>766</v>
      </c>
      <c r="AX6" s="408"/>
      <c r="AY6" s="409" t="s">
        <v>904</v>
      </c>
      <c r="AZ6" s="408"/>
      <c r="BA6" s="409" t="s">
        <v>931</v>
      </c>
      <c r="BB6" s="408"/>
    </row>
    <row r="7" spans="1:54" ht="15.75" thickBot="1">
      <c r="A7" s="1077"/>
      <c r="B7" s="1079"/>
      <c r="C7" s="1081"/>
      <c r="D7" s="1086"/>
      <c r="E7" s="1087"/>
      <c r="F7" s="1087"/>
      <c r="G7" s="1088"/>
      <c r="H7" s="1091"/>
      <c r="I7" s="1075"/>
      <c r="J7" s="1098" t="s">
        <v>533</v>
      </c>
      <c r="K7" s="1096"/>
      <c r="L7" s="671"/>
      <c r="M7" s="672"/>
      <c r="N7" s="671"/>
      <c r="O7" s="671"/>
      <c r="P7" s="1096" t="s">
        <v>534</v>
      </c>
      <c r="Q7" s="1096"/>
      <c r="R7" s="1096"/>
      <c r="S7" s="1097"/>
      <c r="T7" s="1094" t="s">
        <v>535</v>
      </c>
      <c r="U7" s="1099"/>
      <c r="V7" s="1100"/>
      <c r="W7" s="1101" t="s">
        <v>536</v>
      </c>
      <c r="X7" s="1090"/>
      <c r="Y7" s="1098" t="s">
        <v>537</v>
      </c>
      <c r="Z7" s="1097"/>
      <c r="AA7" s="1101" t="s">
        <v>536</v>
      </c>
      <c r="AB7" s="1090"/>
      <c r="AC7" s="1079" t="s">
        <v>455</v>
      </c>
      <c r="AD7" s="1080" t="s">
        <v>451</v>
      </c>
      <c r="AE7" s="1104" t="s">
        <v>456</v>
      </c>
      <c r="AF7" s="1080" t="s">
        <v>451</v>
      </c>
      <c r="AG7" s="1104" t="s">
        <v>457</v>
      </c>
      <c r="AH7" s="1080" t="s">
        <v>451</v>
      </c>
      <c r="AI7" s="1104" t="s">
        <v>458</v>
      </c>
      <c r="AJ7" s="1080" t="s">
        <v>451</v>
      </c>
      <c r="AK7" s="1104" t="s">
        <v>459</v>
      </c>
      <c r="AL7" s="1080" t="s">
        <v>451</v>
      </c>
      <c r="AQ7" s="1104" t="s">
        <v>700</v>
      </c>
      <c r="AR7" s="1080" t="s">
        <v>451</v>
      </c>
      <c r="AS7" s="1104" t="s">
        <v>701</v>
      </c>
      <c r="AT7" s="1105" t="s">
        <v>451</v>
      </c>
      <c r="AU7" s="410"/>
      <c r="AV7" s="410"/>
      <c r="AW7" s="410"/>
      <c r="AX7" s="410"/>
      <c r="AY7" s="410"/>
      <c r="AZ7" s="410"/>
      <c r="BA7" s="410"/>
      <c r="BB7" s="410"/>
    </row>
    <row r="8" spans="1:54" ht="60.75" thickBot="1">
      <c r="A8" s="1077"/>
      <c r="B8" s="1079"/>
      <c r="C8" s="1082"/>
      <c r="D8" s="673" t="s">
        <v>460</v>
      </c>
      <c r="E8" s="673" t="s">
        <v>461</v>
      </c>
      <c r="F8" s="670" t="s">
        <v>462</v>
      </c>
      <c r="G8" s="670" t="s">
        <v>463</v>
      </c>
      <c r="H8" s="674" t="s">
        <v>491</v>
      </c>
      <c r="I8" s="668" t="s">
        <v>35</v>
      </c>
      <c r="J8" s="676" t="s">
        <v>538</v>
      </c>
      <c r="K8" s="676" t="s">
        <v>451</v>
      </c>
      <c r="L8" s="402" t="s">
        <v>642</v>
      </c>
      <c r="M8" s="402" t="s">
        <v>633</v>
      </c>
      <c r="N8" s="349" t="s">
        <v>634</v>
      </c>
      <c r="O8" s="349" t="s">
        <v>633</v>
      </c>
      <c r="P8" s="673" t="s">
        <v>464</v>
      </c>
      <c r="Q8" s="673" t="s">
        <v>451</v>
      </c>
      <c r="R8" s="673" t="s">
        <v>465</v>
      </c>
      <c r="S8" s="673" t="s">
        <v>451</v>
      </c>
      <c r="T8" s="674" t="s">
        <v>466</v>
      </c>
      <c r="U8" s="673" t="s">
        <v>467</v>
      </c>
      <c r="V8" s="673" t="s">
        <v>468</v>
      </c>
      <c r="W8" s="674" t="s">
        <v>466</v>
      </c>
      <c r="X8" s="673" t="s">
        <v>451</v>
      </c>
      <c r="Y8" s="674" t="s">
        <v>466</v>
      </c>
      <c r="Z8" s="673" t="s">
        <v>469</v>
      </c>
      <c r="AA8" s="674" t="s">
        <v>466</v>
      </c>
      <c r="AB8" s="673" t="s">
        <v>451</v>
      </c>
      <c r="AC8" s="1102"/>
      <c r="AD8" s="1103"/>
      <c r="AE8" s="1103"/>
      <c r="AF8" s="1103"/>
      <c r="AG8" s="1103"/>
      <c r="AH8" s="1103"/>
      <c r="AI8" s="1103"/>
      <c r="AJ8" s="1103"/>
      <c r="AK8" s="1103"/>
      <c r="AL8" s="1103"/>
      <c r="AQ8" s="1103"/>
      <c r="AR8" s="1103"/>
      <c r="AS8" s="1103"/>
      <c r="AT8" s="1091"/>
      <c r="AU8" s="412" t="s">
        <v>466</v>
      </c>
      <c r="AV8" s="412" t="s">
        <v>703</v>
      </c>
      <c r="AW8" s="412" t="s">
        <v>466</v>
      </c>
      <c r="AX8" s="412" t="s">
        <v>703</v>
      </c>
      <c r="AY8" s="412" t="s">
        <v>466</v>
      </c>
      <c r="AZ8" s="412" t="s">
        <v>703</v>
      </c>
      <c r="BA8" s="412" t="s">
        <v>466</v>
      </c>
      <c r="BB8" s="412" t="s">
        <v>703</v>
      </c>
    </row>
    <row r="9" spans="1:54" ht="15.75" thickBot="1">
      <c r="A9" s="1077"/>
      <c r="B9" s="675" t="s">
        <v>470</v>
      </c>
      <c r="C9" s="183" t="s">
        <v>88</v>
      </c>
      <c r="D9" s="667" t="s">
        <v>550</v>
      </c>
      <c r="E9" s="667" t="s">
        <v>88</v>
      </c>
      <c r="F9" s="666" t="s">
        <v>88</v>
      </c>
      <c r="G9" s="666" t="s">
        <v>88</v>
      </c>
      <c r="H9" s="667" t="s">
        <v>88</v>
      </c>
      <c r="I9" s="673" t="s">
        <v>88</v>
      </c>
      <c r="J9" s="667" t="s">
        <v>90</v>
      </c>
      <c r="K9" s="667" t="s">
        <v>472</v>
      </c>
      <c r="L9" s="349" t="s">
        <v>31</v>
      </c>
      <c r="M9" s="349" t="s">
        <v>472</v>
      </c>
      <c r="N9" s="349" t="s">
        <v>31</v>
      </c>
      <c r="O9" s="349" t="s">
        <v>88</v>
      </c>
      <c r="P9" s="667" t="s">
        <v>90</v>
      </c>
      <c r="Q9" s="667" t="s">
        <v>88</v>
      </c>
      <c r="R9" s="667" t="s">
        <v>90</v>
      </c>
      <c r="S9" s="667" t="s">
        <v>88</v>
      </c>
      <c r="T9" s="667" t="s">
        <v>25</v>
      </c>
      <c r="U9" s="667" t="s">
        <v>472</v>
      </c>
      <c r="V9" s="667" t="s">
        <v>88</v>
      </c>
      <c r="W9" s="667" t="s">
        <v>25</v>
      </c>
      <c r="X9" s="667" t="s">
        <v>472</v>
      </c>
      <c r="Y9" s="667" t="s">
        <v>21</v>
      </c>
      <c r="Z9" s="667"/>
      <c r="AA9" s="667" t="s">
        <v>21</v>
      </c>
      <c r="AB9" s="667" t="s">
        <v>88</v>
      </c>
      <c r="AC9" s="667" t="s">
        <v>471</v>
      </c>
      <c r="AD9" s="667" t="s">
        <v>88</v>
      </c>
      <c r="AE9" s="667" t="s">
        <v>551</v>
      </c>
      <c r="AF9" s="667" t="s">
        <v>472</v>
      </c>
      <c r="AG9" s="667" t="s">
        <v>550</v>
      </c>
      <c r="AH9" s="667" t="s">
        <v>88</v>
      </c>
      <c r="AI9" s="667" t="s">
        <v>25</v>
      </c>
      <c r="AJ9" s="667" t="s">
        <v>88</v>
      </c>
      <c r="AK9" s="667" t="s">
        <v>549</v>
      </c>
      <c r="AL9" s="667" t="s">
        <v>88</v>
      </c>
      <c r="AQ9" s="667" t="s">
        <v>21</v>
      </c>
      <c r="AR9" s="667" t="s">
        <v>472</v>
      </c>
      <c r="AS9" s="667" t="s">
        <v>550</v>
      </c>
      <c r="AT9" s="666" t="s">
        <v>88</v>
      </c>
      <c r="AU9" s="413" t="s">
        <v>470</v>
      </c>
      <c r="AV9" s="414" t="s">
        <v>472</v>
      </c>
      <c r="AW9" s="413" t="s">
        <v>470</v>
      </c>
      <c r="AX9" s="414" t="s">
        <v>472</v>
      </c>
      <c r="AY9" s="413" t="s">
        <v>470</v>
      </c>
      <c r="AZ9" s="414" t="s">
        <v>472</v>
      </c>
      <c r="BA9" s="413" t="s">
        <v>21</v>
      </c>
      <c r="BB9" s="414" t="s">
        <v>472</v>
      </c>
    </row>
    <row r="10" spans="1:54" ht="15.75" thickBot="1">
      <c r="A10" s="1077"/>
      <c r="B10" s="1076"/>
      <c r="C10" s="1107"/>
      <c r="D10" s="673"/>
      <c r="E10" s="177"/>
      <c r="F10" s="1109"/>
      <c r="G10" s="1111"/>
      <c r="H10" s="667"/>
      <c r="I10" s="178"/>
      <c r="J10" s="1114"/>
      <c r="K10" s="179">
        <f>'стоимость содержания'!F38</f>
        <v>2554.5528658944008</v>
      </c>
      <c r="L10" s="350"/>
      <c r="M10" s="350">
        <f>'стоимость содержания'!F42</f>
        <v>545.81011301375997</v>
      </c>
      <c r="N10" s="350"/>
      <c r="O10" s="350">
        <f>'стоимость содержания'!F41</f>
        <v>6584.2239560832004</v>
      </c>
      <c r="P10" s="1114"/>
      <c r="Q10" s="179">
        <f>'стоимость содержания'!F9</f>
        <v>3119.0489017876807</v>
      </c>
      <c r="R10" s="1114"/>
      <c r="S10" s="179">
        <f>'стоимость содержания'!F8</f>
        <v>1748.1091185995042</v>
      </c>
      <c r="T10" s="1114"/>
      <c r="U10" s="179">
        <f>'стоимость содержания'!F10</f>
        <v>1849.1567693644802</v>
      </c>
      <c r="V10" s="667">
        <f>'стоимость содержания'!F29</f>
        <v>69.290000000000006</v>
      </c>
      <c r="W10" s="1114"/>
      <c r="X10" s="179">
        <f>'стоимость содержания'!F39</f>
        <v>1691.1900932161534</v>
      </c>
      <c r="Y10" s="664"/>
      <c r="Z10" s="667">
        <f>'стоимость содержания'!F30</f>
        <v>269.7</v>
      </c>
      <c r="AA10" s="1114"/>
      <c r="AB10" s="179">
        <f>'стоимость содержания'!F40</f>
        <v>253.59748788326402</v>
      </c>
      <c r="AC10" s="1105"/>
      <c r="AD10" s="179">
        <f>'стоимость содержания'!F31</f>
        <v>427.53827491015687</v>
      </c>
      <c r="AE10" s="1114"/>
      <c r="AF10" s="179">
        <f>'стоимость содержания'!F22</f>
        <v>13284.0922339872</v>
      </c>
      <c r="AG10" s="1114"/>
      <c r="AH10" s="179"/>
      <c r="AI10" s="1114"/>
      <c r="AJ10" s="669">
        <f>'стоимость содержания'!F15</f>
        <v>69.266673072000003</v>
      </c>
      <c r="AK10" s="1080"/>
      <c r="AL10" s="179">
        <f>'стоимость содержания'!F19</f>
        <v>13700.897819136002</v>
      </c>
      <c r="AQ10" s="1114"/>
      <c r="AR10" s="179"/>
      <c r="AS10" s="1114"/>
      <c r="AT10" s="669"/>
      <c r="AU10" s="411"/>
      <c r="AV10" s="420">
        <f>'стоимость содержания'!F33</f>
        <v>83.07</v>
      </c>
      <c r="AW10" s="411"/>
      <c r="AX10" s="420">
        <f>'стоимость содержания'!K34</f>
        <v>0</v>
      </c>
      <c r="AY10" s="411"/>
      <c r="AZ10" s="420">
        <f>'стоимость содержания'!F35</f>
        <v>47.920900000000003</v>
      </c>
      <c r="BA10" s="411"/>
      <c r="BB10" s="420">
        <f>'стоимость содержания'!F36</f>
        <v>51.934874872320002</v>
      </c>
    </row>
    <row r="11" spans="1:54" ht="15.75" thickBot="1">
      <c r="A11" s="1077"/>
      <c r="B11" s="1077"/>
      <c r="C11" s="1108"/>
      <c r="D11" s="667"/>
      <c r="E11" s="179"/>
      <c r="F11" s="1110"/>
      <c r="G11" s="1112"/>
      <c r="H11" s="667"/>
      <c r="I11" s="178"/>
      <c r="J11" s="1115"/>
      <c r="K11" s="667"/>
      <c r="L11" s="349"/>
      <c r="M11" s="349"/>
      <c r="N11" s="349"/>
      <c r="O11" s="349"/>
      <c r="P11" s="1115"/>
      <c r="Q11" s="667"/>
      <c r="R11" s="1115"/>
      <c r="S11" s="667"/>
      <c r="T11" s="1115"/>
      <c r="U11" s="667"/>
      <c r="V11" s="667"/>
      <c r="W11" s="1115"/>
      <c r="X11" s="667"/>
      <c r="Y11" s="665"/>
      <c r="Z11" s="667"/>
      <c r="AA11" s="1115"/>
      <c r="AB11" s="667"/>
      <c r="AC11" s="1117"/>
      <c r="AD11" s="667"/>
      <c r="AE11" s="1115"/>
      <c r="AF11" s="667"/>
      <c r="AG11" s="1115"/>
      <c r="AH11" s="667"/>
      <c r="AI11" s="1115"/>
      <c r="AJ11" s="666"/>
      <c r="AK11" s="1081"/>
      <c r="AL11" s="667"/>
      <c r="AQ11" s="1115"/>
      <c r="AR11" s="667"/>
      <c r="AS11" s="1115"/>
      <c r="AT11" s="666"/>
      <c r="AU11" s="411"/>
      <c r="AV11" s="415"/>
      <c r="AW11" s="411"/>
      <c r="AX11" s="415"/>
      <c r="AY11" s="411"/>
      <c r="AZ11" s="415"/>
      <c r="BA11" s="411"/>
      <c r="BB11" s="415"/>
    </row>
    <row r="12" spans="1:54" ht="15.75" thickBot="1">
      <c r="A12" s="1078"/>
      <c r="B12" s="1106"/>
      <c r="C12" s="1106"/>
      <c r="D12" s="673" t="s">
        <v>539</v>
      </c>
      <c r="E12" s="184">
        <f>'стоимость содержания'!F32</f>
        <v>132.60692735999999</v>
      </c>
      <c r="F12" s="1087"/>
      <c r="G12" s="1113"/>
      <c r="H12" s="185">
        <f>ROUND(182/180,3)</f>
        <v>1.0109999999999999</v>
      </c>
      <c r="I12" s="186">
        <f>ROUND(183/180,3)</f>
        <v>1.0169999999999999</v>
      </c>
      <c r="J12" s="1116"/>
      <c r="K12" s="187"/>
      <c r="L12" s="351"/>
      <c r="M12" s="351"/>
      <c r="N12" s="351"/>
      <c r="O12" s="351"/>
      <c r="P12" s="1116"/>
      <c r="Q12" s="188"/>
      <c r="R12" s="1116"/>
      <c r="S12" s="187"/>
      <c r="T12" s="1116"/>
      <c r="U12" s="189"/>
      <c r="V12" s="177"/>
      <c r="W12" s="1116"/>
      <c r="X12" s="188"/>
      <c r="Y12" s="190"/>
      <c r="Z12" s="188"/>
      <c r="AA12" s="1116"/>
      <c r="AB12" s="188"/>
      <c r="AC12" s="1113"/>
      <c r="AD12" s="187"/>
      <c r="AE12" s="1116"/>
      <c r="AF12" s="187"/>
      <c r="AG12" s="1116"/>
      <c r="AH12" s="187"/>
      <c r="AI12" s="1116"/>
      <c r="AJ12" s="187"/>
      <c r="AK12" s="1106"/>
      <c r="AL12" s="177"/>
      <c r="AQ12" s="1116"/>
      <c r="AR12" s="187"/>
      <c r="AS12" s="1116"/>
      <c r="AT12" s="406"/>
      <c r="AU12" s="411"/>
      <c r="AV12" s="416"/>
      <c r="AW12" s="411"/>
      <c r="AX12" s="416"/>
      <c r="AY12" s="411"/>
      <c r="AZ12" s="416"/>
      <c r="BA12" s="411"/>
      <c r="BB12" s="416"/>
    </row>
    <row r="13" spans="1:54" ht="24.75" thickBot="1">
      <c r="A13" s="205" t="s">
        <v>540</v>
      </c>
      <c r="B13" s="206"/>
      <c r="C13" s="292">
        <f>H13+I13</f>
        <v>0</v>
      </c>
      <c r="D13" s="206">
        <f>77586/100</f>
        <v>775.86</v>
      </c>
      <c r="E13" s="207">
        <f>'стоимость содержания'!F11</f>
        <v>1494.53173924672</v>
      </c>
      <c r="F13" s="207">
        <f>(J13)*E12</f>
        <v>11738.365209907199</v>
      </c>
      <c r="G13" s="206"/>
      <c r="H13" s="321"/>
      <c r="I13" s="321"/>
      <c r="J13" s="206">
        <v>88.52</v>
      </c>
      <c r="K13" s="207">
        <f>K10</f>
        <v>2554.5528658944008</v>
      </c>
      <c r="L13" s="357">
        <f>230/100</f>
        <v>2.2999999999999998</v>
      </c>
      <c r="M13" s="493">
        <f>M10</f>
        <v>545.81011301375997</v>
      </c>
      <c r="N13" s="328">
        <f>789/100</f>
        <v>7.89</v>
      </c>
      <c r="O13" s="493">
        <f>O10</f>
        <v>6584.2239560832004</v>
      </c>
      <c r="P13" s="206">
        <v>110.1186</v>
      </c>
      <c r="Q13" s="207">
        <f>Q10</f>
        <v>3119.0489017876807</v>
      </c>
      <c r="R13" s="206">
        <f>1400/100</f>
        <v>14</v>
      </c>
      <c r="S13" s="207">
        <f>S10</f>
        <v>1748.1091185995042</v>
      </c>
      <c r="T13" s="206">
        <v>92</v>
      </c>
      <c r="U13" s="207">
        <f>U10</f>
        <v>1849.1567693644802</v>
      </c>
      <c r="V13" s="206">
        <f>V10</f>
        <v>69.290000000000006</v>
      </c>
      <c r="W13" s="206">
        <v>92</v>
      </c>
      <c r="X13" s="207">
        <f>X10</f>
        <v>1691.1900932161534</v>
      </c>
      <c r="Y13" s="206">
        <v>98</v>
      </c>
      <c r="Z13" s="206">
        <f>Z10</f>
        <v>269.7</v>
      </c>
      <c r="AA13" s="206">
        <v>98</v>
      </c>
      <c r="AB13" s="207">
        <f>AB10</f>
        <v>253.59748788326402</v>
      </c>
      <c r="AC13" s="206">
        <f>677+3.12</f>
        <v>680.12</v>
      </c>
      <c r="AD13" s="207">
        <f>AD10</f>
        <v>427.53827491015687</v>
      </c>
      <c r="AE13" s="206">
        <f>680.12/100</f>
        <v>6.8011999999999997</v>
      </c>
      <c r="AF13" s="207">
        <f>AF10</f>
        <v>13284.0922339872</v>
      </c>
      <c r="AG13" s="206">
        <v>0</v>
      </c>
      <c r="AH13" s="206">
        <f>AH10</f>
        <v>0</v>
      </c>
      <c r="AI13" s="206">
        <v>71</v>
      </c>
      <c r="AJ13" s="207">
        <f>AJ10</f>
        <v>69.266673072000003</v>
      </c>
      <c r="AK13" s="206">
        <f>908/100</f>
        <v>9.08</v>
      </c>
      <c r="AL13" s="840">
        <f>AL10</f>
        <v>13700.897819136002</v>
      </c>
      <c r="AQ13" s="206">
        <v>61</v>
      </c>
      <c r="AR13" s="207">
        <f>AR10</f>
        <v>0</v>
      </c>
      <c r="AS13" s="206">
        <f>808/100</f>
        <v>8.08</v>
      </c>
      <c r="AT13" s="407">
        <f>AT10</f>
        <v>0</v>
      </c>
      <c r="AU13" s="439">
        <v>34</v>
      </c>
      <c r="AV13" s="421">
        <f>AV10</f>
        <v>83.07</v>
      </c>
      <c r="AW13" s="418">
        <v>3685</v>
      </c>
      <c r="AX13" s="421">
        <f>AX10</f>
        <v>0</v>
      </c>
      <c r="AY13" s="418">
        <v>102</v>
      </c>
      <c r="AZ13" s="421">
        <f>AZ10</f>
        <v>47.920900000000003</v>
      </c>
      <c r="BA13" s="418">
        <v>35</v>
      </c>
      <c r="BB13" s="421">
        <f>BB10</f>
        <v>51.934874872320002</v>
      </c>
    </row>
    <row r="14" spans="1:54" ht="15.75" thickBot="1">
      <c r="A14" s="322"/>
      <c r="B14" s="322"/>
      <c r="C14" s="322"/>
      <c r="D14" s="322"/>
      <c r="E14" s="405">
        <f>(D13*E13)*H5*I12</f>
        <v>1351330.2009321458</v>
      </c>
      <c r="F14" s="404">
        <f>F13*H12*H5</f>
        <v>13599.119758488199</v>
      </c>
      <c r="G14" s="322"/>
      <c r="H14" s="326">
        <f>(F14+K14+M14+O14+X14+AB14)</f>
        <v>546258.32112793985</v>
      </c>
      <c r="I14" s="327">
        <f>(E14+Q14+S14+U14+V14+Z14+AD14+AF14+AJ14+AL14+AV14+AX14+AZ14+BB14)</f>
        <v>2622593.545355699</v>
      </c>
      <c r="J14" s="322"/>
      <c r="K14" s="491">
        <f>J13*K10*H5*H12</f>
        <v>261974.77797201561</v>
      </c>
      <c r="L14" s="492"/>
      <c r="M14" s="491">
        <f>L13*M10*H5*H12</f>
        <v>1454.3622563223689</v>
      </c>
      <c r="N14" s="492"/>
      <c r="O14" s="494">
        <f>N13*O10*H5*H12</f>
        <v>60184.516891423358</v>
      </c>
      <c r="P14" s="322"/>
      <c r="Q14" s="495">
        <f>(P13*Q10)*H5*I12</f>
        <v>400272.58274370112</v>
      </c>
      <c r="R14" s="322"/>
      <c r="S14" s="495">
        <f>(R13*S10)*H5*I12</f>
        <v>28521.31546101399</v>
      </c>
      <c r="T14" s="322"/>
      <c r="U14" s="496">
        <f>(T13*U10)*H5*I12</f>
        <v>198259.74230092435</v>
      </c>
      <c r="V14" s="497">
        <f>(T13*V10)*H5*I12</f>
        <v>7429.0172534978401</v>
      </c>
      <c r="W14" s="322"/>
      <c r="X14" s="491">
        <f>W13*X10*H12*H5</f>
        <v>180253.3871172794</v>
      </c>
      <c r="Y14" s="322"/>
      <c r="Z14" s="497">
        <f>(Y13*Z10)*I12*H5</f>
        <v>30802.076876062798</v>
      </c>
      <c r="AA14" s="322"/>
      <c r="AB14" s="491">
        <f>AA13*AB10*H12*H5</f>
        <v>28792.157132410961</v>
      </c>
      <c r="AC14" s="322"/>
      <c r="AD14" s="497">
        <f>(AC13*AD10)*I12*H5</f>
        <v>338870.31394148665</v>
      </c>
      <c r="AE14" s="322"/>
      <c r="AF14" s="497">
        <f>(AE13*AF10)*I12*H5</f>
        <v>105290.79546632105</v>
      </c>
      <c r="AG14" s="322"/>
      <c r="AH14" s="322"/>
      <c r="AI14" s="322"/>
      <c r="AJ14" s="497">
        <f>AI13*AJ10*I12*H5</f>
        <v>5731.333174911374</v>
      </c>
      <c r="AK14" s="322"/>
      <c r="AL14" s="497">
        <f>AK13*AL10*I12*H5</f>
        <v>144979.91947578423</v>
      </c>
      <c r="AQ14" s="322"/>
      <c r="AR14" s="324">
        <f>(AQ13*AR10)*1.074*I12</f>
        <v>0</v>
      </c>
      <c r="AS14" s="322"/>
      <c r="AT14" s="324">
        <f>AS13*AT10*1.074*I12</f>
        <v>0</v>
      </c>
      <c r="AU14" s="417"/>
      <c r="AV14" s="498">
        <f>AU13*AV10*I12*H5</f>
        <v>3291.5170252364396</v>
      </c>
      <c r="AW14" s="417"/>
      <c r="AX14" s="498">
        <f>AW13*AX13*H5*I12</f>
        <v>0</v>
      </c>
      <c r="AY14" s="417"/>
      <c r="AZ14" s="498">
        <f>AY13*AZ13*H5*I12</f>
        <v>5696.3690218365091</v>
      </c>
      <c r="BA14" s="417"/>
      <c r="BB14" s="498">
        <f>BA13*BB13*I12*H5</f>
        <v>2118.3616827770311</v>
      </c>
    </row>
    <row r="15" spans="1:54">
      <c r="A15" s="325"/>
      <c r="B15" s="171"/>
      <c r="C15" s="171"/>
      <c r="D15" s="171"/>
      <c r="E15" s="171"/>
      <c r="F15" s="171"/>
      <c r="G15" s="171"/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/>
      <c r="S15" s="171"/>
      <c r="T15" s="171"/>
      <c r="U15" s="171"/>
      <c r="V15" s="171"/>
      <c r="W15" s="171"/>
      <c r="X15" s="171"/>
      <c r="Y15" s="171"/>
      <c r="Z15" s="171"/>
      <c r="AA15" s="171"/>
      <c r="AB15" s="171"/>
      <c r="AC15" s="171"/>
      <c r="AD15" s="171"/>
      <c r="AE15" s="171"/>
      <c r="AF15" s="171"/>
      <c r="AG15" s="171"/>
      <c r="AH15" s="171"/>
      <c r="AI15" s="171"/>
      <c r="AJ15" s="171"/>
      <c r="AK15" s="171"/>
      <c r="AL15" s="171"/>
    </row>
    <row r="16" spans="1:54">
      <c r="A16" s="423">
        <f>H14+I14</f>
        <v>3168851.866483639</v>
      </c>
      <c r="B16" s="171"/>
      <c r="C16" s="323"/>
      <c r="D16" s="171"/>
      <c r="E16" s="171"/>
      <c r="F16" s="171"/>
      <c r="G16" s="171"/>
      <c r="H16" s="323"/>
      <c r="I16" s="171"/>
      <c r="J16" s="171"/>
      <c r="K16" s="171"/>
      <c r="L16" s="171"/>
      <c r="M16" s="171" t="s">
        <v>167</v>
      </c>
      <c r="N16" s="171"/>
      <c r="O16" s="171"/>
      <c r="P16" s="171"/>
      <c r="Q16" s="171"/>
      <c r="R16" s="171"/>
      <c r="S16" s="171"/>
      <c r="T16" s="171"/>
      <c r="U16" s="171"/>
      <c r="V16" s="171"/>
      <c r="W16" s="171"/>
      <c r="X16" s="171"/>
      <c r="Y16" s="171"/>
      <c r="Z16" s="171"/>
      <c r="AA16" s="171"/>
      <c r="AB16" s="171"/>
      <c r="AC16" s="171"/>
      <c r="AD16" s="171"/>
      <c r="AE16" s="171"/>
      <c r="AF16" s="171"/>
      <c r="AG16" s="171"/>
      <c r="AH16" s="171"/>
      <c r="AI16" s="171"/>
      <c r="AJ16" s="171"/>
      <c r="AK16" s="171"/>
      <c r="AL16" s="171"/>
    </row>
    <row r="17" spans="2:8">
      <c r="H17" s="359"/>
    </row>
    <row r="19" spans="2:8">
      <c r="C19" s="359"/>
    </row>
    <row r="20" spans="2:8">
      <c r="C20" s="359"/>
    </row>
    <row r="24" spans="2:8">
      <c r="B24" s="359"/>
    </row>
  </sheetData>
  <mergeCells count="51">
    <mergeCell ref="AK10:AK12"/>
    <mergeCell ref="AQ10:AQ12"/>
    <mergeCell ref="AS10:AS12"/>
    <mergeCell ref="W10:W12"/>
    <mergeCell ref="AA10:AA12"/>
    <mergeCell ref="AC10:AC12"/>
    <mergeCell ref="AE10:AE12"/>
    <mergeCell ref="AG10:AG12"/>
    <mergeCell ref="AI10:AI12"/>
    <mergeCell ref="P10:P12"/>
    <mergeCell ref="R10:R12"/>
    <mergeCell ref="T10:T12"/>
    <mergeCell ref="AI7:AI8"/>
    <mergeCell ref="AJ7:AJ8"/>
    <mergeCell ref="AH7:AH8"/>
    <mergeCell ref="AA7:AB7"/>
    <mergeCell ref="B10:B12"/>
    <mergeCell ref="C10:C12"/>
    <mergeCell ref="F10:F12"/>
    <mergeCell ref="G10:G12"/>
    <mergeCell ref="J10:J12"/>
    <mergeCell ref="AE6:AH6"/>
    <mergeCell ref="AI6:AL6"/>
    <mergeCell ref="AQ6:AT6"/>
    <mergeCell ref="AC7:AC8"/>
    <mergeCell ref="AD7:AD8"/>
    <mergeCell ref="AE7:AE8"/>
    <mergeCell ref="AF7:AF8"/>
    <mergeCell ref="AG7:AG8"/>
    <mergeCell ref="AS7:AS8"/>
    <mergeCell ref="AT7:AT8"/>
    <mergeCell ref="AK7:AK8"/>
    <mergeCell ref="AL7:AL8"/>
    <mergeCell ref="AQ7:AQ8"/>
    <mergeCell ref="AR7:AR8"/>
    <mergeCell ref="A4:AL4"/>
    <mergeCell ref="E5:G5"/>
    <mergeCell ref="A6:A12"/>
    <mergeCell ref="B6:B8"/>
    <mergeCell ref="C6:C8"/>
    <mergeCell ref="D6:G7"/>
    <mergeCell ref="H6:I7"/>
    <mergeCell ref="J6:S6"/>
    <mergeCell ref="T6:X6"/>
    <mergeCell ref="Y6:AB6"/>
    <mergeCell ref="J7:K7"/>
    <mergeCell ref="P7:S7"/>
    <mergeCell ref="T7:V7"/>
    <mergeCell ref="W7:X7"/>
    <mergeCell ref="Y7:Z7"/>
    <mergeCell ref="AC6:AD6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>
  <dimension ref="A1:Q95"/>
  <sheetViews>
    <sheetView topLeftCell="A19" workbookViewId="0">
      <selection activeCell="K51" sqref="K51"/>
    </sheetView>
  </sheetViews>
  <sheetFormatPr defaultRowHeight="15"/>
  <cols>
    <col min="1" max="1" width="3.5703125" style="51" customWidth="1"/>
    <col min="2" max="2" width="20.85546875" style="51" customWidth="1"/>
    <col min="3" max="3" width="33.140625" style="51" customWidth="1"/>
    <col min="4" max="4" width="13.28515625" style="51" customWidth="1"/>
    <col min="5" max="5" width="5.7109375" style="51" customWidth="1"/>
    <col min="6" max="6" width="7.5703125" style="51" customWidth="1"/>
    <col min="7" max="7" width="7.85546875" style="51" customWidth="1"/>
    <col min="8" max="8" width="8.28515625" style="51" customWidth="1"/>
    <col min="9" max="9" width="7.85546875" style="51" customWidth="1"/>
    <col min="10" max="10" width="6.85546875" style="51" customWidth="1"/>
    <col min="11" max="16384" width="9.140625" style="51"/>
  </cols>
  <sheetData>
    <row r="1" spans="1:17">
      <c r="A1" s="718"/>
      <c r="B1" s="721"/>
      <c r="C1" s="716"/>
      <c r="D1" s="717"/>
      <c r="E1" s="720"/>
      <c r="F1" s="719"/>
      <c r="G1" s="719"/>
      <c r="H1" s="727" t="s">
        <v>650</v>
      </c>
      <c r="I1" s="727"/>
      <c r="J1" s="719"/>
      <c r="K1" s="719"/>
      <c r="L1" s="719"/>
      <c r="M1" s="719"/>
      <c r="N1" s="719"/>
      <c r="O1" s="719"/>
      <c r="P1" s="719"/>
      <c r="Q1" s="719"/>
    </row>
    <row r="2" spans="1:17">
      <c r="A2" s="718"/>
      <c r="B2" s="721"/>
      <c r="C2" s="716"/>
      <c r="D2" s="717"/>
      <c r="E2" s="720"/>
      <c r="F2" s="719"/>
      <c r="G2" s="719"/>
      <c r="H2" s="718" t="s">
        <v>651</v>
      </c>
      <c r="I2" s="718"/>
      <c r="J2" s="719"/>
      <c r="K2" s="719"/>
      <c r="L2" s="719"/>
      <c r="M2" s="719"/>
      <c r="N2" s="719"/>
      <c r="O2" s="719"/>
      <c r="P2" s="719"/>
      <c r="Q2" s="719"/>
    </row>
    <row r="3" spans="1:17">
      <c r="A3" s="718"/>
      <c r="B3" s="721"/>
      <c r="C3" s="716"/>
      <c r="D3" s="717"/>
      <c r="E3" s="720"/>
      <c r="F3" s="719"/>
      <c r="G3" s="719"/>
      <c r="H3" s="719"/>
      <c r="I3" s="719"/>
      <c r="J3" s="719"/>
      <c r="K3" s="719"/>
      <c r="L3" s="719"/>
      <c r="M3" s="719"/>
      <c r="N3" s="719"/>
      <c r="O3" s="719"/>
      <c r="P3" s="719"/>
      <c r="Q3" s="719"/>
    </row>
    <row r="4" spans="1:17">
      <c r="A4" s="718"/>
      <c r="B4" s="721"/>
      <c r="C4" s="728" t="s">
        <v>652</v>
      </c>
      <c r="D4" s="729" t="s">
        <v>863</v>
      </c>
      <c r="E4" s="730"/>
      <c r="F4" s="719"/>
      <c r="G4" s="719"/>
      <c r="H4" s="718"/>
      <c r="I4" s="719"/>
      <c r="J4" s="719"/>
      <c r="K4" s="723"/>
      <c r="L4" s="723"/>
      <c r="M4" s="719"/>
      <c r="N4" s="719"/>
      <c r="O4" s="719"/>
      <c r="P4" s="719"/>
      <c r="Q4" s="719"/>
    </row>
    <row r="5" spans="1:17">
      <c r="A5" s="718"/>
      <c r="B5" s="721"/>
      <c r="C5" s="716"/>
      <c r="D5" s="717"/>
      <c r="E5" s="731"/>
      <c r="F5" s="724"/>
      <c r="G5" s="724"/>
      <c r="H5" s="725" t="s">
        <v>407</v>
      </c>
      <c r="I5" s="725"/>
      <c r="J5" s="724"/>
      <c r="K5" s="726"/>
      <c r="L5" s="719"/>
      <c r="M5" s="719"/>
      <c r="N5" s="719"/>
      <c r="O5" s="719"/>
      <c r="P5" s="719"/>
      <c r="Q5" s="719"/>
    </row>
    <row r="6" spans="1:17">
      <c r="A6" s="732"/>
      <c r="B6" s="733"/>
      <c r="C6" s="716"/>
      <c r="D6" s="717"/>
      <c r="E6" s="720"/>
      <c r="F6" s="719"/>
      <c r="G6" s="719"/>
      <c r="H6" s="719"/>
      <c r="I6" s="719"/>
      <c r="J6" s="719"/>
      <c r="K6" s="719"/>
      <c r="L6" s="719"/>
      <c r="M6" s="719"/>
      <c r="N6" s="719"/>
      <c r="O6" s="719"/>
      <c r="P6" s="719"/>
      <c r="Q6" s="719"/>
    </row>
    <row r="7" spans="1:17">
      <c r="A7" s="718"/>
      <c r="B7" s="721"/>
      <c r="C7" s="716"/>
      <c r="D7" s="730" t="s">
        <v>556</v>
      </c>
      <c r="E7" s="718"/>
      <c r="F7" s="719"/>
      <c r="G7" s="719"/>
      <c r="H7" s="719"/>
      <c r="I7" s="730"/>
      <c r="J7" s="1353" t="s">
        <v>864</v>
      </c>
      <c r="K7" s="1354"/>
      <c r="L7" s="722" t="s">
        <v>848</v>
      </c>
      <c r="M7" s="719"/>
      <c r="N7" s="719"/>
      <c r="O7" s="719"/>
      <c r="P7" s="719"/>
      <c r="Q7" s="719"/>
    </row>
    <row r="8" spans="1:17">
      <c r="A8" s="718"/>
      <c r="B8" s="721"/>
      <c r="C8" s="716"/>
      <c r="D8" s="730" t="s">
        <v>654</v>
      </c>
      <c r="E8" s="718"/>
      <c r="F8" s="719"/>
      <c r="G8" s="719"/>
      <c r="H8" s="719"/>
      <c r="I8" s="730"/>
      <c r="J8" s="1353" t="s">
        <v>865</v>
      </c>
      <c r="K8" s="1354"/>
      <c r="L8" s="722" t="s">
        <v>848</v>
      </c>
      <c r="M8" s="719"/>
      <c r="N8" s="719"/>
      <c r="O8" s="719"/>
      <c r="P8" s="719"/>
      <c r="Q8" s="719"/>
    </row>
    <row r="9" spans="1:17" ht="15" customHeight="1">
      <c r="A9" s="718"/>
      <c r="B9" s="721"/>
      <c r="C9" s="716"/>
      <c r="D9" s="730" t="s">
        <v>655</v>
      </c>
      <c r="E9" s="718"/>
      <c r="F9" s="719"/>
      <c r="G9" s="719"/>
      <c r="H9" s="719"/>
      <c r="I9" s="730"/>
      <c r="J9" s="1353" t="s">
        <v>866</v>
      </c>
      <c r="K9" s="1354"/>
      <c r="L9" s="722" t="s">
        <v>657</v>
      </c>
      <c r="M9" s="719"/>
      <c r="N9" s="719"/>
      <c r="O9" s="719"/>
      <c r="P9" s="719"/>
      <c r="Q9" s="719"/>
    </row>
    <row r="10" spans="1:17" ht="15" customHeight="1">
      <c r="A10" s="718"/>
      <c r="B10" s="721"/>
      <c r="C10" s="716"/>
      <c r="D10" s="739" t="s">
        <v>682</v>
      </c>
      <c r="E10" s="718"/>
      <c r="F10" s="719"/>
      <c r="G10" s="719"/>
      <c r="H10" s="719"/>
      <c r="I10" s="719"/>
      <c r="J10" s="719"/>
      <c r="K10" s="719"/>
      <c r="L10" s="719"/>
      <c r="M10" s="719"/>
      <c r="N10" s="719"/>
      <c r="O10" s="719"/>
      <c r="P10" s="719"/>
      <c r="Q10" s="719"/>
    </row>
    <row r="11" spans="1:17" ht="15" customHeight="1">
      <c r="A11" s="718"/>
      <c r="B11" s="721"/>
      <c r="C11" s="716"/>
      <c r="D11" s="717"/>
      <c r="E11" s="718"/>
      <c r="F11" s="719"/>
      <c r="G11" s="719"/>
      <c r="H11" s="719"/>
      <c r="I11" s="719"/>
      <c r="J11" s="719"/>
      <c r="K11" s="719"/>
      <c r="L11" s="719"/>
      <c r="M11" s="719"/>
      <c r="N11" s="719"/>
      <c r="O11" s="719"/>
      <c r="P11" s="719"/>
      <c r="Q11" s="719"/>
    </row>
    <row r="12" spans="1:17" ht="15" customHeight="1">
      <c r="A12" s="484"/>
      <c r="B12" s="482"/>
      <c r="C12" s="485"/>
      <c r="D12" s="486"/>
      <c r="E12" s="487"/>
      <c r="F12" s="483"/>
      <c r="G12" s="483"/>
      <c r="H12" s="483"/>
      <c r="I12" s="483"/>
      <c r="J12" s="483"/>
      <c r="K12" s="483"/>
      <c r="L12" s="483"/>
      <c r="M12" s="483"/>
      <c r="N12" s="483"/>
      <c r="O12" s="483"/>
      <c r="P12" s="483"/>
      <c r="Q12" s="483"/>
    </row>
    <row r="13" spans="1:17" ht="15" customHeight="1">
      <c r="A13" s="1345" t="s">
        <v>408</v>
      </c>
      <c r="B13" s="1348" t="s">
        <v>851</v>
      </c>
      <c r="C13" s="1345" t="s">
        <v>409</v>
      </c>
      <c r="D13" s="1345" t="s">
        <v>181</v>
      </c>
      <c r="E13" s="1345" t="s">
        <v>410</v>
      </c>
      <c r="F13" s="1345" t="s">
        <v>411</v>
      </c>
      <c r="G13" s="1346"/>
      <c r="H13" s="1346"/>
      <c r="I13" s="1346"/>
      <c r="J13" s="1345" t="s">
        <v>412</v>
      </c>
      <c r="K13" s="1346"/>
      <c r="L13" s="1346"/>
      <c r="M13" s="1346"/>
      <c r="N13" s="1345" t="s">
        <v>658</v>
      </c>
      <c r="O13" s="1345" t="s">
        <v>659</v>
      </c>
      <c r="P13" s="1345" t="s">
        <v>660</v>
      </c>
      <c r="Q13" s="1345" t="s">
        <v>661</v>
      </c>
    </row>
    <row r="14" spans="1:17" ht="15" customHeight="1">
      <c r="A14" s="1346"/>
      <c r="B14" s="1349"/>
      <c r="C14" s="1347"/>
      <c r="D14" s="1345"/>
      <c r="E14" s="1346"/>
      <c r="F14" s="1345" t="s">
        <v>170</v>
      </c>
      <c r="G14" s="1345" t="s">
        <v>171</v>
      </c>
      <c r="H14" s="1346"/>
      <c r="I14" s="1346"/>
      <c r="J14" s="1345" t="s">
        <v>170</v>
      </c>
      <c r="K14" s="1345" t="s">
        <v>171</v>
      </c>
      <c r="L14" s="1346"/>
      <c r="M14" s="1346"/>
      <c r="N14" s="1345"/>
      <c r="O14" s="1345"/>
      <c r="P14" s="1345"/>
      <c r="Q14" s="1345"/>
    </row>
    <row r="15" spans="1:17" ht="15" customHeight="1">
      <c r="A15" s="1346"/>
      <c r="B15" s="1349"/>
      <c r="C15" s="1347"/>
      <c r="D15" s="1345"/>
      <c r="E15" s="1346"/>
      <c r="F15" s="1346"/>
      <c r="G15" s="734" t="s">
        <v>413</v>
      </c>
      <c r="H15" s="734" t="s">
        <v>662</v>
      </c>
      <c r="I15" s="734" t="s">
        <v>414</v>
      </c>
      <c r="J15" s="1346"/>
      <c r="K15" s="734" t="s">
        <v>413</v>
      </c>
      <c r="L15" s="734" t="s">
        <v>662</v>
      </c>
      <c r="M15" s="734" t="s">
        <v>414</v>
      </c>
      <c r="N15" s="1345"/>
      <c r="O15" s="1345"/>
      <c r="P15" s="1345"/>
      <c r="Q15" s="1345"/>
    </row>
    <row r="16" spans="1:17" ht="12" customHeight="1">
      <c r="A16" s="737">
        <v>1</v>
      </c>
      <c r="B16" s="736">
        <v>2</v>
      </c>
      <c r="C16" s="734">
        <v>3</v>
      </c>
      <c r="D16" s="734">
        <v>4</v>
      </c>
      <c r="E16" s="737">
        <v>5</v>
      </c>
      <c r="F16" s="735">
        <v>6</v>
      </c>
      <c r="G16" s="735">
        <v>7</v>
      </c>
      <c r="H16" s="735">
        <v>8</v>
      </c>
      <c r="I16" s="735">
        <v>9</v>
      </c>
      <c r="J16" s="735">
        <v>10</v>
      </c>
      <c r="K16" s="735">
        <v>11</v>
      </c>
      <c r="L16" s="735">
        <v>12</v>
      </c>
      <c r="M16" s="735">
        <v>13</v>
      </c>
      <c r="N16" s="735">
        <v>14</v>
      </c>
      <c r="O16" s="735">
        <v>15</v>
      </c>
      <c r="P16" s="735">
        <v>16</v>
      </c>
      <c r="Q16" s="735">
        <v>17</v>
      </c>
    </row>
    <row r="17" spans="1:17" ht="21" customHeight="1">
      <c r="A17" s="1343" t="s">
        <v>663</v>
      </c>
      <c r="B17" s="1344"/>
      <c r="C17" s="1344"/>
      <c r="D17" s="1344"/>
      <c r="E17" s="1344"/>
      <c r="F17" s="1344"/>
      <c r="G17" s="1344"/>
      <c r="H17" s="1344"/>
      <c r="I17" s="1344"/>
      <c r="J17" s="1344"/>
      <c r="K17" s="1344"/>
      <c r="L17" s="1344"/>
      <c r="M17" s="1344"/>
      <c r="N17" s="1344"/>
      <c r="O17" s="1344"/>
      <c r="P17" s="1344"/>
      <c r="Q17" s="1344"/>
    </row>
    <row r="18" spans="1:17" ht="39.75" customHeight="1">
      <c r="A18" s="737">
        <v>1</v>
      </c>
      <c r="B18" s="740" t="s">
        <v>867</v>
      </c>
      <c r="C18" s="741" t="s">
        <v>868</v>
      </c>
      <c r="D18" s="742" t="s">
        <v>415</v>
      </c>
      <c r="E18" s="743">
        <v>0.01</v>
      </c>
      <c r="F18" s="744">
        <v>68.209999999999994</v>
      </c>
      <c r="G18" s="744">
        <v>60.66</v>
      </c>
      <c r="H18" s="744"/>
      <c r="I18" s="744"/>
      <c r="J18" s="744">
        <v>0.68</v>
      </c>
      <c r="K18" s="744">
        <v>0.61</v>
      </c>
      <c r="L18" s="744"/>
      <c r="M18" s="744"/>
      <c r="N18" s="744">
        <v>7.64</v>
      </c>
      <c r="O18" s="744">
        <v>0.08</v>
      </c>
      <c r="P18" s="744"/>
      <c r="Q18" s="744"/>
    </row>
    <row r="19" spans="1:17" ht="63.75" customHeight="1">
      <c r="A19" s="737">
        <v>2</v>
      </c>
      <c r="B19" s="740" t="s">
        <v>869</v>
      </c>
      <c r="C19" s="741" t="s">
        <v>750</v>
      </c>
      <c r="D19" s="742" t="s">
        <v>416</v>
      </c>
      <c r="E19" s="743">
        <v>0.01</v>
      </c>
      <c r="F19" s="744">
        <v>567.99</v>
      </c>
      <c r="G19" s="744">
        <v>145.76</v>
      </c>
      <c r="H19" s="744">
        <v>1.04</v>
      </c>
      <c r="I19" s="744"/>
      <c r="J19" s="744">
        <v>5.68</v>
      </c>
      <c r="K19" s="744">
        <v>1.46</v>
      </c>
      <c r="L19" s="744">
        <v>0.01</v>
      </c>
      <c r="M19" s="744"/>
      <c r="N19" s="744">
        <v>16.87</v>
      </c>
      <c r="O19" s="744">
        <v>0.17</v>
      </c>
      <c r="P19" s="744"/>
      <c r="Q19" s="744"/>
    </row>
    <row r="20" spans="1:17" ht="27" customHeight="1">
      <c r="A20" s="737">
        <v>3</v>
      </c>
      <c r="B20" s="740" t="s">
        <v>870</v>
      </c>
      <c r="C20" s="741" t="s">
        <v>751</v>
      </c>
      <c r="D20" s="742" t="s">
        <v>428</v>
      </c>
      <c r="E20" s="743">
        <v>5.0000000000000001E-3</v>
      </c>
      <c r="F20" s="744">
        <v>577.37</v>
      </c>
      <c r="G20" s="744">
        <v>514.36</v>
      </c>
      <c r="H20" s="744">
        <v>63.01</v>
      </c>
      <c r="I20" s="744"/>
      <c r="J20" s="744">
        <v>2.89</v>
      </c>
      <c r="K20" s="744">
        <v>2.57</v>
      </c>
      <c r="L20" s="744">
        <v>0.32</v>
      </c>
      <c r="M20" s="744"/>
      <c r="N20" s="744">
        <v>60.3</v>
      </c>
      <c r="O20" s="744">
        <v>0.3</v>
      </c>
      <c r="P20" s="744"/>
      <c r="Q20" s="744"/>
    </row>
    <row r="21" spans="1:17" ht="39.75" customHeight="1">
      <c r="A21" s="737">
        <v>4</v>
      </c>
      <c r="B21" s="740" t="s">
        <v>871</v>
      </c>
      <c r="C21" s="741" t="s">
        <v>872</v>
      </c>
      <c r="D21" s="742" t="s">
        <v>429</v>
      </c>
      <c r="E21" s="743">
        <v>1.4999999999999999E-2</v>
      </c>
      <c r="F21" s="744">
        <v>510.89</v>
      </c>
      <c r="G21" s="744">
        <v>118.52</v>
      </c>
      <c r="H21" s="744">
        <v>2.93</v>
      </c>
      <c r="I21" s="744">
        <v>0.12</v>
      </c>
      <c r="J21" s="744">
        <v>7.66</v>
      </c>
      <c r="K21" s="744">
        <v>1.78</v>
      </c>
      <c r="L21" s="744">
        <v>0.04</v>
      </c>
      <c r="M21" s="744"/>
      <c r="N21" s="744">
        <v>12.32</v>
      </c>
      <c r="O21" s="744">
        <v>0.18</v>
      </c>
      <c r="P21" s="744">
        <v>0.01</v>
      </c>
      <c r="Q21" s="744"/>
    </row>
    <row r="22" spans="1:17" ht="15" customHeight="1">
      <c r="A22" s="1350" t="s">
        <v>749</v>
      </c>
      <c r="B22" s="1351"/>
      <c r="C22" s="1351"/>
      <c r="D22" s="1351"/>
      <c r="E22" s="1351"/>
      <c r="F22" s="1351"/>
      <c r="G22" s="1351"/>
      <c r="H22" s="1351"/>
      <c r="I22" s="1351"/>
      <c r="J22" s="1351"/>
      <c r="K22" s="1351"/>
      <c r="L22" s="1351"/>
      <c r="M22" s="1351"/>
      <c r="N22" s="1351"/>
      <c r="O22" s="1351"/>
      <c r="P22" s="1351"/>
      <c r="Q22" s="1351"/>
    </row>
    <row r="23" spans="1:17" ht="15" customHeight="1">
      <c r="A23" s="1352" t="s">
        <v>417</v>
      </c>
      <c r="B23" s="1344"/>
      <c r="C23" s="1344"/>
      <c r="D23" s="1344"/>
      <c r="E23" s="1344"/>
      <c r="F23" s="1344"/>
      <c r="G23" s="1344"/>
      <c r="H23" s="1344"/>
      <c r="I23" s="1344"/>
      <c r="J23" s="745">
        <v>16.91</v>
      </c>
      <c r="K23" s="745">
        <v>6.42</v>
      </c>
      <c r="L23" s="745">
        <v>0.37</v>
      </c>
      <c r="M23" s="744"/>
      <c r="N23" s="744"/>
      <c r="O23" s="745">
        <v>0.73</v>
      </c>
      <c r="P23" s="744"/>
      <c r="Q23" s="744"/>
    </row>
    <row r="24" spans="1:17" ht="15" customHeight="1">
      <c r="A24" s="1352" t="s">
        <v>418</v>
      </c>
      <c r="B24" s="1344"/>
      <c r="C24" s="1344"/>
      <c r="D24" s="1344"/>
      <c r="E24" s="1344"/>
      <c r="F24" s="1344"/>
      <c r="G24" s="1344"/>
      <c r="H24" s="1344"/>
      <c r="I24" s="1344"/>
      <c r="J24" s="745">
        <v>130.88999999999999</v>
      </c>
      <c r="K24" s="745">
        <v>86.09</v>
      </c>
      <c r="L24" s="745">
        <v>2.19</v>
      </c>
      <c r="M24" s="744"/>
      <c r="N24" s="744"/>
      <c r="O24" s="745">
        <v>0.73</v>
      </c>
      <c r="P24" s="744"/>
      <c r="Q24" s="744"/>
    </row>
    <row r="25" spans="1:17" ht="15" customHeight="1">
      <c r="A25" s="1352" t="s">
        <v>683</v>
      </c>
      <c r="B25" s="1344"/>
      <c r="C25" s="1344"/>
      <c r="D25" s="1344"/>
      <c r="E25" s="1344"/>
      <c r="F25" s="1344"/>
      <c r="G25" s="1344"/>
      <c r="H25" s="1344"/>
      <c r="I25" s="1344"/>
      <c r="J25" s="744"/>
      <c r="K25" s="744"/>
      <c r="L25" s="744"/>
      <c r="M25" s="744"/>
      <c r="N25" s="744"/>
      <c r="O25" s="744"/>
      <c r="P25" s="744"/>
      <c r="Q25" s="744"/>
    </row>
    <row r="26" spans="1:17" ht="15" customHeight="1">
      <c r="A26" s="1352" t="s">
        <v>876</v>
      </c>
      <c r="B26" s="1344"/>
      <c r="C26" s="1344"/>
      <c r="D26" s="1344"/>
      <c r="E26" s="1344"/>
      <c r="F26" s="1344"/>
      <c r="G26" s="1344"/>
      <c r="H26" s="1344"/>
      <c r="I26" s="1344"/>
      <c r="J26" s="745">
        <v>113.98</v>
      </c>
      <c r="K26" s="745">
        <v>79.67</v>
      </c>
      <c r="L26" s="745">
        <v>1.81</v>
      </c>
      <c r="M26" s="744"/>
      <c r="N26" s="744"/>
      <c r="O26" s="744"/>
      <c r="P26" s="744"/>
      <c r="Q26" s="744"/>
    </row>
    <row r="27" spans="1:17" ht="15" customHeight="1">
      <c r="A27" s="1352" t="s">
        <v>172</v>
      </c>
      <c r="B27" s="1344"/>
      <c r="C27" s="1344"/>
      <c r="D27" s="1344"/>
      <c r="E27" s="1344"/>
      <c r="F27" s="1344"/>
      <c r="G27" s="1344"/>
      <c r="H27" s="1344"/>
      <c r="I27" s="1344"/>
      <c r="J27" s="745">
        <v>63.55</v>
      </c>
      <c r="K27" s="744"/>
      <c r="L27" s="744"/>
      <c r="M27" s="744"/>
      <c r="N27" s="744"/>
      <c r="O27" s="744"/>
      <c r="P27" s="744"/>
      <c r="Q27" s="744"/>
    </row>
    <row r="28" spans="1:17" ht="15" customHeight="1">
      <c r="A28" s="1352" t="s">
        <v>683</v>
      </c>
      <c r="B28" s="1344"/>
      <c r="C28" s="1344"/>
      <c r="D28" s="1344"/>
      <c r="E28" s="1344"/>
      <c r="F28" s="1344"/>
      <c r="G28" s="1344"/>
      <c r="H28" s="1344"/>
      <c r="I28" s="1344"/>
      <c r="J28" s="744"/>
      <c r="K28" s="744"/>
      <c r="L28" s="744"/>
      <c r="M28" s="744"/>
      <c r="N28" s="744"/>
      <c r="O28" s="744"/>
      <c r="P28" s="744"/>
      <c r="Q28" s="744"/>
    </row>
    <row r="29" spans="1:17" ht="15" customHeight="1">
      <c r="A29" s="1352" t="s">
        <v>877</v>
      </c>
      <c r="B29" s="1344"/>
      <c r="C29" s="1344"/>
      <c r="D29" s="1344"/>
      <c r="E29" s="1344"/>
      <c r="F29" s="1344"/>
      <c r="G29" s="1344"/>
      <c r="H29" s="1344"/>
      <c r="I29" s="1344"/>
      <c r="J29" s="745">
        <v>42.31</v>
      </c>
      <c r="K29" s="744"/>
      <c r="L29" s="744"/>
      <c r="M29" s="744"/>
      <c r="N29" s="744"/>
      <c r="O29" s="744"/>
      <c r="P29" s="744"/>
      <c r="Q29" s="744"/>
    </row>
    <row r="30" spans="1:17" ht="15" customHeight="1">
      <c r="A30" s="1352" t="s">
        <v>878</v>
      </c>
      <c r="B30" s="1344"/>
      <c r="C30" s="1344"/>
      <c r="D30" s="1344"/>
      <c r="E30" s="1344"/>
      <c r="F30" s="1344"/>
      <c r="G30" s="1344"/>
      <c r="H30" s="1344"/>
      <c r="I30" s="1344"/>
      <c r="J30" s="745">
        <v>21.24</v>
      </c>
      <c r="K30" s="744"/>
      <c r="L30" s="744"/>
      <c r="M30" s="744"/>
      <c r="N30" s="744"/>
      <c r="O30" s="744"/>
      <c r="P30" s="744"/>
      <c r="Q30" s="744"/>
    </row>
    <row r="31" spans="1:17" ht="15" customHeight="1">
      <c r="A31" s="1352" t="s">
        <v>173</v>
      </c>
      <c r="B31" s="1344"/>
      <c r="C31" s="1344"/>
      <c r="D31" s="1344"/>
      <c r="E31" s="1344"/>
      <c r="F31" s="1344"/>
      <c r="G31" s="1344"/>
      <c r="H31" s="1344"/>
      <c r="I31" s="1344"/>
      <c r="J31" s="745">
        <v>40.21</v>
      </c>
      <c r="K31" s="744"/>
      <c r="L31" s="744"/>
      <c r="M31" s="744"/>
      <c r="N31" s="744"/>
      <c r="O31" s="744"/>
      <c r="P31" s="744"/>
      <c r="Q31" s="744"/>
    </row>
    <row r="32" spans="1:17" ht="15" customHeight="1">
      <c r="A32" s="1352" t="s">
        <v>683</v>
      </c>
      <c r="B32" s="1344"/>
      <c r="C32" s="1344"/>
      <c r="D32" s="1344"/>
      <c r="E32" s="1344"/>
      <c r="F32" s="1344"/>
      <c r="G32" s="1344"/>
      <c r="H32" s="1344"/>
      <c r="I32" s="1344"/>
      <c r="J32" s="744"/>
      <c r="K32" s="744"/>
      <c r="L32" s="744"/>
      <c r="M32" s="744"/>
      <c r="N32" s="744"/>
      <c r="O32" s="744"/>
      <c r="P32" s="744"/>
      <c r="Q32" s="744"/>
    </row>
    <row r="33" spans="1:17" ht="15" customHeight="1">
      <c r="A33" s="1352" t="s">
        <v>879</v>
      </c>
      <c r="B33" s="1344"/>
      <c r="C33" s="1344"/>
      <c r="D33" s="1344"/>
      <c r="E33" s="1344"/>
      <c r="F33" s="1344"/>
      <c r="G33" s="1344"/>
      <c r="H33" s="1344"/>
      <c r="I33" s="1344"/>
      <c r="J33" s="745">
        <v>11.1</v>
      </c>
      <c r="K33" s="744"/>
      <c r="L33" s="744"/>
      <c r="M33" s="744"/>
      <c r="N33" s="744"/>
      <c r="O33" s="744"/>
      <c r="P33" s="744"/>
      <c r="Q33" s="744"/>
    </row>
    <row r="34" spans="1:17" ht="15" customHeight="1">
      <c r="A34" s="1352" t="s">
        <v>880</v>
      </c>
      <c r="B34" s="1344"/>
      <c r="C34" s="1344"/>
      <c r="D34" s="1344"/>
      <c r="E34" s="1344"/>
      <c r="F34" s="1344"/>
      <c r="G34" s="1344"/>
      <c r="H34" s="1344"/>
      <c r="I34" s="1344"/>
      <c r="J34" s="745">
        <v>10.5</v>
      </c>
      <c r="K34" s="744"/>
      <c r="L34" s="744"/>
      <c r="M34" s="744"/>
      <c r="N34" s="744"/>
      <c r="O34" s="744"/>
      <c r="P34" s="744"/>
      <c r="Q34" s="744"/>
    </row>
    <row r="35" spans="1:17">
      <c r="A35" s="1352" t="s">
        <v>881</v>
      </c>
      <c r="B35" s="1344"/>
      <c r="C35" s="1344"/>
      <c r="D35" s="1344"/>
      <c r="E35" s="1344"/>
      <c r="F35" s="1344"/>
      <c r="G35" s="1344"/>
      <c r="H35" s="1344"/>
      <c r="I35" s="1344"/>
      <c r="J35" s="745">
        <v>18.61</v>
      </c>
      <c r="K35" s="744"/>
      <c r="L35" s="744"/>
      <c r="M35" s="744"/>
      <c r="N35" s="744"/>
      <c r="O35" s="744"/>
      <c r="P35" s="744"/>
      <c r="Q35" s="744"/>
    </row>
    <row r="36" spans="1:17" ht="15" customHeight="1">
      <c r="A36" s="1355" t="s">
        <v>419</v>
      </c>
      <c r="B36" s="1344"/>
      <c r="C36" s="1344"/>
      <c r="D36" s="1344"/>
      <c r="E36" s="1344"/>
      <c r="F36" s="1344"/>
      <c r="G36" s="1344"/>
      <c r="H36" s="1344"/>
      <c r="I36" s="1344"/>
      <c r="J36" s="744"/>
      <c r="K36" s="744"/>
      <c r="L36" s="744"/>
      <c r="M36" s="744"/>
      <c r="N36" s="744"/>
      <c r="O36" s="744"/>
      <c r="P36" s="744"/>
      <c r="Q36" s="744"/>
    </row>
    <row r="37" spans="1:17">
      <c r="A37" s="1352" t="s">
        <v>873</v>
      </c>
      <c r="B37" s="1344"/>
      <c r="C37" s="1344"/>
      <c r="D37" s="1344"/>
      <c r="E37" s="1344"/>
      <c r="F37" s="1344"/>
      <c r="G37" s="1344"/>
      <c r="H37" s="1344"/>
      <c r="I37" s="1344"/>
      <c r="J37" s="745">
        <v>75.819999999999993</v>
      </c>
      <c r="K37" s="744"/>
      <c r="L37" s="744"/>
      <c r="M37" s="744"/>
      <c r="N37" s="744"/>
      <c r="O37" s="745">
        <v>0.25</v>
      </c>
      <c r="P37" s="744"/>
      <c r="Q37" s="744"/>
    </row>
    <row r="38" spans="1:17">
      <c r="A38" s="1352" t="s">
        <v>874</v>
      </c>
      <c r="B38" s="1344"/>
      <c r="C38" s="1344"/>
      <c r="D38" s="1344"/>
      <c r="E38" s="1344"/>
      <c r="F38" s="1344"/>
      <c r="G38" s="1344"/>
      <c r="H38" s="1344"/>
      <c r="I38" s="1344"/>
      <c r="J38" s="745">
        <v>78.39</v>
      </c>
      <c r="K38" s="744"/>
      <c r="L38" s="744"/>
      <c r="M38" s="744"/>
      <c r="N38" s="744"/>
      <c r="O38" s="745">
        <v>0.3</v>
      </c>
      <c r="P38" s="744"/>
      <c r="Q38" s="744"/>
    </row>
    <row r="39" spans="1:17">
      <c r="A39" s="1352" t="s">
        <v>875</v>
      </c>
      <c r="B39" s="1344"/>
      <c r="C39" s="1344"/>
      <c r="D39" s="1344"/>
      <c r="E39" s="1344"/>
      <c r="F39" s="1344"/>
      <c r="G39" s="1344"/>
      <c r="H39" s="1344"/>
      <c r="I39" s="1344"/>
      <c r="J39" s="745">
        <v>80.44</v>
      </c>
      <c r="K39" s="744"/>
      <c r="L39" s="744"/>
      <c r="M39" s="744"/>
      <c r="N39" s="744"/>
      <c r="O39" s="745">
        <v>0.18</v>
      </c>
      <c r="P39" s="744"/>
      <c r="Q39" s="744"/>
    </row>
    <row r="40" spans="1:17">
      <c r="A40" s="1352" t="s">
        <v>559</v>
      </c>
      <c r="B40" s="1344"/>
      <c r="C40" s="1344"/>
      <c r="D40" s="1344"/>
      <c r="E40" s="1344"/>
      <c r="F40" s="1344"/>
      <c r="G40" s="1344"/>
      <c r="H40" s="1344"/>
      <c r="I40" s="1344"/>
      <c r="J40" s="745">
        <v>234.65</v>
      </c>
      <c r="K40" s="744"/>
      <c r="L40" s="744"/>
      <c r="M40" s="744"/>
      <c r="N40" s="744"/>
      <c r="O40" s="745">
        <v>0.73</v>
      </c>
      <c r="P40" s="744"/>
      <c r="Q40" s="744"/>
    </row>
    <row r="41" spans="1:17">
      <c r="A41" s="1352" t="s">
        <v>420</v>
      </c>
      <c r="B41" s="1344"/>
      <c r="C41" s="1344"/>
      <c r="D41" s="1344"/>
      <c r="E41" s="1344"/>
      <c r="F41" s="1344"/>
      <c r="G41" s="1344"/>
      <c r="H41" s="1344"/>
      <c r="I41" s="1344"/>
      <c r="J41" s="744"/>
      <c r="K41" s="744"/>
      <c r="L41" s="744"/>
      <c r="M41" s="744"/>
      <c r="N41" s="744"/>
      <c r="O41" s="744"/>
      <c r="P41" s="744"/>
      <c r="Q41" s="744"/>
    </row>
    <row r="42" spans="1:17">
      <c r="A42" s="1352" t="s">
        <v>421</v>
      </c>
      <c r="B42" s="1344"/>
      <c r="C42" s="1344"/>
      <c r="D42" s="1344"/>
      <c r="E42" s="1344"/>
      <c r="F42" s="1344"/>
      <c r="G42" s="1344"/>
      <c r="H42" s="1344"/>
      <c r="I42" s="1344"/>
      <c r="J42" s="745">
        <v>42.61</v>
      </c>
      <c r="K42" s="744"/>
      <c r="L42" s="744"/>
      <c r="M42" s="744"/>
      <c r="N42" s="744"/>
      <c r="O42" s="744"/>
      <c r="P42" s="744"/>
      <c r="Q42" s="744"/>
    </row>
    <row r="43" spans="1:17">
      <c r="A43" s="1352" t="s">
        <v>422</v>
      </c>
      <c r="B43" s="1344"/>
      <c r="C43" s="1344"/>
      <c r="D43" s="1344"/>
      <c r="E43" s="1344"/>
      <c r="F43" s="1344"/>
      <c r="G43" s="1344"/>
      <c r="H43" s="1344"/>
      <c r="I43" s="1344"/>
      <c r="J43" s="745">
        <v>2.19</v>
      </c>
      <c r="K43" s="744"/>
      <c r="L43" s="744"/>
      <c r="M43" s="744"/>
      <c r="N43" s="744"/>
      <c r="O43" s="744"/>
      <c r="P43" s="744"/>
      <c r="Q43" s="744"/>
    </row>
    <row r="44" spans="1:17">
      <c r="A44" s="1352" t="s">
        <v>423</v>
      </c>
      <c r="B44" s="1344"/>
      <c r="C44" s="1344"/>
      <c r="D44" s="1344"/>
      <c r="E44" s="1344"/>
      <c r="F44" s="1344"/>
      <c r="G44" s="1344"/>
      <c r="H44" s="1344"/>
      <c r="I44" s="1344"/>
      <c r="J44" s="745">
        <v>86.09</v>
      </c>
      <c r="K44" s="744"/>
      <c r="L44" s="744"/>
      <c r="M44" s="744"/>
      <c r="N44" s="744"/>
      <c r="O44" s="744"/>
      <c r="P44" s="744"/>
      <c r="Q44" s="744"/>
    </row>
    <row r="45" spans="1:17">
      <c r="A45" s="1352" t="s">
        <v>424</v>
      </c>
      <c r="B45" s="1344"/>
      <c r="C45" s="1344"/>
      <c r="D45" s="1344"/>
      <c r="E45" s="1344"/>
      <c r="F45" s="1344"/>
      <c r="G45" s="1344"/>
      <c r="H45" s="1344"/>
      <c r="I45" s="1344"/>
      <c r="J45" s="745">
        <v>63.55</v>
      </c>
      <c r="K45" s="744"/>
      <c r="L45" s="744"/>
      <c r="M45" s="744"/>
      <c r="N45" s="744"/>
      <c r="O45" s="744"/>
      <c r="P45" s="744"/>
      <c r="Q45" s="744"/>
    </row>
    <row r="46" spans="1:17">
      <c r="A46" s="1352" t="s">
        <v>425</v>
      </c>
      <c r="B46" s="1344"/>
      <c r="C46" s="1344"/>
      <c r="D46" s="1344"/>
      <c r="E46" s="1344"/>
      <c r="F46" s="1344"/>
      <c r="G46" s="1344"/>
      <c r="H46" s="1344"/>
      <c r="I46" s="1344"/>
      <c r="J46" s="745">
        <v>40.21</v>
      </c>
      <c r="K46" s="744"/>
      <c r="L46" s="744"/>
      <c r="M46" s="744"/>
      <c r="N46" s="744"/>
      <c r="O46" s="744"/>
      <c r="P46" s="744"/>
      <c r="Q46" s="744"/>
    </row>
    <row r="47" spans="1:17">
      <c r="A47" s="1352" t="s">
        <v>426</v>
      </c>
      <c r="B47" s="1344"/>
      <c r="C47" s="1344"/>
      <c r="D47" s="1344"/>
      <c r="E47" s="1344"/>
      <c r="F47" s="1344"/>
      <c r="G47" s="1344"/>
      <c r="H47" s="1344"/>
      <c r="I47" s="1344"/>
      <c r="J47" s="745">
        <v>42.24</v>
      </c>
      <c r="K47" s="744"/>
      <c r="L47" s="744"/>
      <c r="M47" s="744"/>
      <c r="N47" s="744"/>
      <c r="O47" s="744"/>
      <c r="P47" s="744"/>
      <c r="Q47" s="744"/>
    </row>
    <row r="48" spans="1:17">
      <c r="A48" s="1355" t="s">
        <v>427</v>
      </c>
      <c r="B48" s="1344"/>
      <c r="C48" s="1344"/>
      <c r="D48" s="1344"/>
      <c r="E48" s="1344"/>
      <c r="F48" s="1344"/>
      <c r="G48" s="1344"/>
      <c r="H48" s="1344"/>
      <c r="I48" s="1344"/>
      <c r="J48" s="746">
        <v>269.7</v>
      </c>
      <c r="K48" s="744"/>
      <c r="L48" s="744"/>
      <c r="M48" s="744"/>
      <c r="N48" s="744"/>
      <c r="O48" s="746">
        <v>0.73</v>
      </c>
      <c r="P48" s="744"/>
      <c r="Q48" s="744"/>
    </row>
    <row r="49" spans="1:17">
      <c r="A49" s="715"/>
      <c r="B49" s="715"/>
      <c r="C49" s="715"/>
      <c r="D49" s="715"/>
      <c r="E49" s="715"/>
      <c r="F49" s="738"/>
      <c r="G49" s="738"/>
      <c r="H49" s="738"/>
      <c r="I49" s="738"/>
      <c r="J49" s="738"/>
      <c r="K49" s="738"/>
      <c r="L49" s="738"/>
      <c r="M49" s="738"/>
      <c r="N49" s="738"/>
      <c r="O49" s="738"/>
      <c r="P49" s="738"/>
      <c r="Q49" s="738"/>
    </row>
    <row r="50" spans="1:17">
      <c r="A50" s="750"/>
      <c r="B50" s="753"/>
      <c r="C50" s="748"/>
      <c r="D50" s="749"/>
      <c r="E50" s="752"/>
      <c r="F50" s="751"/>
      <c r="G50" s="751"/>
      <c r="H50" s="751"/>
      <c r="I50" s="751"/>
      <c r="J50" s="751"/>
      <c r="K50" s="751"/>
      <c r="L50" s="751"/>
      <c r="M50" s="751"/>
      <c r="N50" s="751"/>
      <c r="O50" s="751"/>
      <c r="P50" s="751"/>
      <c r="Q50" s="751"/>
    </row>
    <row r="51" spans="1:17" ht="15" customHeight="1">
      <c r="A51" s="750"/>
      <c r="B51" s="753"/>
      <c r="C51" s="748"/>
      <c r="D51" s="749"/>
      <c r="E51" s="752"/>
      <c r="F51" s="751"/>
      <c r="G51" s="751"/>
      <c r="H51" s="759" t="s">
        <v>650</v>
      </c>
      <c r="I51" s="759"/>
      <c r="J51" s="751"/>
      <c r="K51" s="751"/>
      <c r="L51" s="751"/>
      <c r="M51" s="751"/>
      <c r="N51" s="751"/>
      <c r="O51" s="751"/>
      <c r="P51" s="751"/>
      <c r="Q51" s="751"/>
    </row>
    <row r="52" spans="1:17" ht="15" customHeight="1">
      <c r="A52" s="750"/>
      <c r="B52" s="753"/>
      <c r="C52" s="748"/>
      <c r="D52" s="749"/>
      <c r="E52" s="752"/>
      <c r="F52" s="751"/>
      <c r="G52" s="751"/>
      <c r="H52" s="750" t="s">
        <v>651</v>
      </c>
      <c r="I52" s="750"/>
      <c r="J52" s="751"/>
      <c r="K52" s="751"/>
      <c r="L52" s="751"/>
      <c r="M52" s="751"/>
      <c r="N52" s="751"/>
      <c r="O52" s="751"/>
      <c r="P52" s="751"/>
      <c r="Q52" s="751"/>
    </row>
    <row r="53" spans="1:17">
      <c r="A53" s="750"/>
      <c r="B53" s="753"/>
      <c r="C53" s="748"/>
      <c r="D53" s="749"/>
      <c r="E53" s="752"/>
      <c r="F53" s="751"/>
      <c r="G53" s="751"/>
      <c r="H53" s="751"/>
      <c r="I53" s="751"/>
      <c r="J53" s="751"/>
      <c r="K53" s="751"/>
      <c r="L53" s="751"/>
      <c r="M53" s="751"/>
      <c r="N53" s="751"/>
      <c r="O53" s="751"/>
      <c r="P53" s="751"/>
      <c r="Q53" s="751"/>
    </row>
    <row r="54" spans="1:17">
      <c r="A54" s="750"/>
      <c r="B54" s="753"/>
      <c r="C54" s="760" t="s">
        <v>652</v>
      </c>
      <c r="D54" s="761" t="s">
        <v>882</v>
      </c>
      <c r="E54" s="762"/>
      <c r="F54" s="751"/>
      <c r="G54" s="751"/>
      <c r="H54" s="750"/>
      <c r="I54" s="751"/>
      <c r="J54" s="751"/>
      <c r="K54" s="755"/>
      <c r="L54" s="755"/>
      <c r="M54" s="751"/>
      <c r="N54" s="751"/>
      <c r="O54" s="751"/>
      <c r="P54" s="751"/>
      <c r="Q54" s="751"/>
    </row>
    <row r="55" spans="1:17" ht="15" customHeight="1">
      <c r="A55" s="750"/>
      <c r="B55" s="753"/>
      <c r="C55" s="748"/>
      <c r="D55" s="749"/>
      <c r="E55" s="763"/>
      <c r="F55" s="756"/>
      <c r="G55" s="756"/>
      <c r="H55" s="757" t="s">
        <v>407</v>
      </c>
      <c r="I55" s="757"/>
      <c r="J55" s="756"/>
      <c r="K55" s="758"/>
      <c r="L55" s="751"/>
      <c r="M55" s="751"/>
      <c r="N55" s="751"/>
      <c r="O55" s="751"/>
      <c r="P55" s="751"/>
      <c r="Q55" s="751"/>
    </row>
    <row r="56" spans="1:17">
      <c r="A56" s="764"/>
      <c r="B56" s="765"/>
      <c r="C56" s="748"/>
      <c r="D56" s="749"/>
      <c r="E56" s="752"/>
      <c r="F56" s="751"/>
      <c r="G56" s="751"/>
      <c r="H56" s="751"/>
      <c r="I56" s="751"/>
      <c r="J56" s="751"/>
      <c r="K56" s="751"/>
      <c r="L56" s="751"/>
      <c r="M56" s="751"/>
      <c r="N56" s="751"/>
      <c r="O56" s="751"/>
      <c r="P56" s="751"/>
      <c r="Q56" s="751"/>
    </row>
    <row r="57" spans="1:17">
      <c r="A57" s="750"/>
      <c r="B57" s="753"/>
      <c r="C57" s="748"/>
      <c r="D57" s="762" t="s">
        <v>653</v>
      </c>
      <c r="E57" s="750"/>
      <c r="F57" s="751"/>
      <c r="G57" s="751"/>
      <c r="H57" s="751"/>
      <c r="I57" s="762"/>
      <c r="J57" s="762"/>
      <c r="K57" s="751"/>
      <c r="L57" s="751"/>
      <c r="M57" s="751"/>
      <c r="N57" s="751"/>
      <c r="O57" s="751"/>
      <c r="P57" s="751"/>
      <c r="Q57" s="751"/>
    </row>
    <row r="58" spans="1:17" ht="15" customHeight="1">
      <c r="A58" s="750"/>
      <c r="B58" s="753"/>
      <c r="C58" s="748"/>
      <c r="D58" s="762" t="s">
        <v>556</v>
      </c>
      <c r="E58" s="750"/>
      <c r="F58" s="751"/>
      <c r="G58" s="751"/>
      <c r="H58" s="751"/>
      <c r="I58" s="762"/>
      <c r="J58" s="1356" t="s">
        <v>883</v>
      </c>
      <c r="K58" s="1357"/>
      <c r="L58" s="754" t="s">
        <v>848</v>
      </c>
      <c r="M58" s="751"/>
      <c r="N58" s="751"/>
      <c r="O58" s="751"/>
      <c r="P58" s="751"/>
      <c r="Q58" s="751"/>
    </row>
    <row r="59" spans="1:17">
      <c r="A59" s="750"/>
      <c r="B59" s="753"/>
      <c r="C59" s="748"/>
      <c r="D59" s="762" t="s">
        <v>654</v>
      </c>
      <c r="E59" s="750"/>
      <c r="F59" s="751"/>
      <c r="G59" s="751"/>
      <c r="H59" s="751"/>
      <c r="I59" s="762"/>
      <c r="J59" s="1356" t="s">
        <v>884</v>
      </c>
      <c r="K59" s="1357"/>
      <c r="L59" s="754" t="s">
        <v>848</v>
      </c>
      <c r="M59" s="751"/>
      <c r="N59" s="751"/>
      <c r="O59" s="751"/>
      <c r="P59" s="751"/>
      <c r="Q59" s="751"/>
    </row>
    <row r="60" spans="1:17" ht="15" customHeight="1">
      <c r="A60" s="750"/>
      <c r="B60" s="753"/>
      <c r="C60" s="748"/>
      <c r="D60" s="762" t="s">
        <v>655</v>
      </c>
      <c r="E60" s="750"/>
      <c r="F60" s="751"/>
      <c r="G60" s="751"/>
      <c r="H60" s="751"/>
      <c r="I60" s="762"/>
      <c r="J60" s="1356" t="s">
        <v>780</v>
      </c>
      <c r="K60" s="1357"/>
      <c r="L60" s="754" t="s">
        <v>657</v>
      </c>
      <c r="M60" s="751"/>
      <c r="N60" s="751"/>
      <c r="O60" s="751"/>
      <c r="P60" s="751"/>
      <c r="Q60" s="751"/>
    </row>
    <row r="61" spans="1:17" ht="15" customHeight="1">
      <c r="A61" s="750"/>
      <c r="B61" s="753"/>
      <c r="C61" s="748"/>
      <c r="D61" s="771" t="s">
        <v>682</v>
      </c>
      <c r="E61" s="750"/>
      <c r="F61" s="751"/>
      <c r="G61" s="751"/>
      <c r="H61" s="751"/>
      <c r="I61" s="751"/>
      <c r="J61" s="751"/>
      <c r="K61" s="751"/>
      <c r="L61" s="751"/>
      <c r="M61" s="751"/>
      <c r="N61" s="751"/>
      <c r="O61" s="751"/>
      <c r="P61" s="751"/>
      <c r="Q61" s="751"/>
    </row>
    <row r="62" spans="1:17" ht="15" customHeight="1">
      <c r="A62" s="750"/>
      <c r="B62" s="753"/>
      <c r="C62" s="748"/>
      <c r="D62" s="749"/>
      <c r="E62" s="750"/>
      <c r="F62" s="751"/>
      <c r="G62" s="751"/>
      <c r="H62" s="751"/>
      <c r="I62" s="751"/>
      <c r="J62" s="751"/>
      <c r="K62" s="751"/>
      <c r="L62" s="751"/>
      <c r="M62" s="751"/>
      <c r="N62" s="751"/>
      <c r="O62" s="751"/>
      <c r="P62" s="751"/>
      <c r="Q62" s="751"/>
    </row>
    <row r="63" spans="1:17" ht="15" customHeight="1">
      <c r="A63" s="663"/>
      <c r="B63" s="662"/>
      <c r="C63" s="662"/>
      <c r="D63" s="662"/>
      <c r="E63" s="662"/>
      <c r="F63" s="662"/>
      <c r="G63" s="662"/>
      <c r="H63" s="662"/>
      <c r="I63" s="662"/>
      <c r="J63" s="489"/>
      <c r="K63" s="489"/>
      <c r="L63" s="489"/>
      <c r="M63" s="488"/>
      <c r="N63" s="488"/>
      <c r="O63" s="488"/>
      <c r="P63" s="488"/>
      <c r="Q63" s="488"/>
    </row>
    <row r="64" spans="1:17" ht="15" customHeight="1">
      <c r="A64" s="1333" t="s">
        <v>408</v>
      </c>
      <c r="B64" s="1336" t="s">
        <v>851</v>
      </c>
      <c r="C64" s="1333" t="s">
        <v>409</v>
      </c>
      <c r="D64" s="1333" t="s">
        <v>181</v>
      </c>
      <c r="E64" s="1333" t="s">
        <v>410</v>
      </c>
      <c r="F64" s="1333" t="s">
        <v>411</v>
      </c>
      <c r="G64" s="1334"/>
      <c r="H64" s="1334"/>
      <c r="I64" s="1334"/>
      <c r="J64" s="1333" t="s">
        <v>412</v>
      </c>
      <c r="K64" s="1334"/>
      <c r="L64" s="1334"/>
      <c r="M64" s="1334"/>
      <c r="N64" s="1333" t="s">
        <v>658</v>
      </c>
      <c r="O64" s="1333" t="s">
        <v>659</v>
      </c>
      <c r="P64" s="1333" t="s">
        <v>660</v>
      </c>
      <c r="Q64" s="1333" t="s">
        <v>661</v>
      </c>
    </row>
    <row r="65" spans="1:17" ht="15" customHeight="1">
      <c r="A65" s="1334"/>
      <c r="B65" s="1337"/>
      <c r="C65" s="1335"/>
      <c r="D65" s="1333"/>
      <c r="E65" s="1334"/>
      <c r="F65" s="1333" t="s">
        <v>170</v>
      </c>
      <c r="G65" s="1333" t="s">
        <v>171</v>
      </c>
      <c r="H65" s="1334"/>
      <c r="I65" s="1334"/>
      <c r="J65" s="1333" t="s">
        <v>170</v>
      </c>
      <c r="K65" s="1333" t="s">
        <v>171</v>
      </c>
      <c r="L65" s="1334"/>
      <c r="M65" s="1334"/>
      <c r="N65" s="1333"/>
      <c r="O65" s="1333"/>
      <c r="P65" s="1333"/>
      <c r="Q65" s="1333"/>
    </row>
    <row r="66" spans="1:17" ht="15" customHeight="1">
      <c r="A66" s="1334"/>
      <c r="B66" s="1337"/>
      <c r="C66" s="1335"/>
      <c r="D66" s="1333"/>
      <c r="E66" s="1334"/>
      <c r="F66" s="1334"/>
      <c r="G66" s="766" t="s">
        <v>413</v>
      </c>
      <c r="H66" s="766" t="s">
        <v>662</v>
      </c>
      <c r="I66" s="766" t="s">
        <v>414</v>
      </c>
      <c r="J66" s="1334"/>
      <c r="K66" s="766" t="s">
        <v>413</v>
      </c>
      <c r="L66" s="766" t="s">
        <v>662</v>
      </c>
      <c r="M66" s="766" t="s">
        <v>414</v>
      </c>
      <c r="N66" s="1333"/>
      <c r="O66" s="1333"/>
      <c r="P66" s="1333"/>
      <c r="Q66" s="1333"/>
    </row>
    <row r="67" spans="1:17" ht="15" customHeight="1">
      <c r="A67" s="769">
        <v>1</v>
      </c>
      <c r="B67" s="768">
        <v>2</v>
      </c>
      <c r="C67" s="766">
        <v>3</v>
      </c>
      <c r="D67" s="766">
        <v>4</v>
      </c>
      <c r="E67" s="769">
        <v>5</v>
      </c>
      <c r="F67" s="767">
        <v>6</v>
      </c>
      <c r="G67" s="767">
        <v>7</v>
      </c>
      <c r="H67" s="767">
        <v>8</v>
      </c>
      <c r="I67" s="767">
        <v>9</v>
      </c>
      <c r="J67" s="767">
        <v>10</v>
      </c>
      <c r="K67" s="767">
        <v>11</v>
      </c>
      <c r="L67" s="767">
        <v>12</v>
      </c>
      <c r="M67" s="767">
        <v>13</v>
      </c>
      <c r="N67" s="767">
        <v>14</v>
      </c>
      <c r="O67" s="767">
        <v>15</v>
      </c>
      <c r="P67" s="767">
        <v>16</v>
      </c>
      <c r="Q67" s="767">
        <v>17</v>
      </c>
    </row>
    <row r="68" spans="1:17" ht="15" customHeight="1">
      <c r="A68" s="1358" t="s">
        <v>663</v>
      </c>
      <c r="B68" s="1339"/>
      <c r="C68" s="1339"/>
      <c r="D68" s="1339"/>
      <c r="E68" s="1339"/>
      <c r="F68" s="1339"/>
      <c r="G68" s="1339"/>
      <c r="H68" s="1339"/>
      <c r="I68" s="1339"/>
      <c r="J68" s="1339"/>
      <c r="K68" s="1339"/>
      <c r="L68" s="1339"/>
      <c r="M68" s="1339"/>
      <c r="N68" s="1339"/>
      <c r="O68" s="1339"/>
      <c r="P68" s="1339"/>
      <c r="Q68" s="1339"/>
    </row>
    <row r="69" spans="1:17" ht="47.25" customHeight="1">
      <c r="A69" s="769">
        <v>1</v>
      </c>
      <c r="B69" s="772" t="s">
        <v>885</v>
      </c>
      <c r="C69" s="773" t="s">
        <v>753</v>
      </c>
      <c r="D69" s="774" t="s">
        <v>415</v>
      </c>
      <c r="E69" s="775">
        <v>0.01</v>
      </c>
      <c r="F69" s="776">
        <v>55.03</v>
      </c>
      <c r="G69" s="776">
        <v>47.48</v>
      </c>
      <c r="H69" s="776"/>
      <c r="I69" s="776"/>
      <c r="J69" s="776">
        <v>0.55000000000000004</v>
      </c>
      <c r="K69" s="776">
        <v>0.47</v>
      </c>
      <c r="L69" s="776"/>
      <c r="M69" s="776"/>
      <c r="N69" s="776">
        <v>5.98</v>
      </c>
      <c r="O69" s="776">
        <v>0.06</v>
      </c>
      <c r="P69" s="776"/>
      <c r="Q69" s="776"/>
    </row>
    <row r="70" spans="1:17" ht="49.5" customHeight="1">
      <c r="A70" s="769">
        <v>2</v>
      </c>
      <c r="B70" s="772" t="s">
        <v>886</v>
      </c>
      <c r="C70" s="773" t="s">
        <v>755</v>
      </c>
      <c r="D70" s="774" t="s">
        <v>416</v>
      </c>
      <c r="E70" s="775">
        <v>0.01</v>
      </c>
      <c r="F70" s="776">
        <v>432.4</v>
      </c>
      <c r="G70" s="776">
        <v>120.44</v>
      </c>
      <c r="H70" s="776">
        <v>0.87</v>
      </c>
      <c r="I70" s="776"/>
      <c r="J70" s="776">
        <v>4.32</v>
      </c>
      <c r="K70" s="776">
        <v>1.2</v>
      </c>
      <c r="L70" s="776">
        <v>0.01</v>
      </c>
      <c r="M70" s="776"/>
      <c r="N70" s="776">
        <v>13.78</v>
      </c>
      <c r="O70" s="776">
        <v>0.14000000000000001</v>
      </c>
      <c r="P70" s="776"/>
      <c r="Q70" s="776"/>
    </row>
    <row r="71" spans="1:17" ht="15" customHeight="1">
      <c r="A71" s="1340" t="s">
        <v>749</v>
      </c>
      <c r="B71" s="1341"/>
      <c r="C71" s="1341"/>
      <c r="D71" s="1341"/>
      <c r="E71" s="1341"/>
      <c r="F71" s="1341"/>
      <c r="G71" s="1341"/>
      <c r="H71" s="1341"/>
      <c r="I71" s="1341"/>
      <c r="J71" s="1341"/>
      <c r="K71" s="1341"/>
      <c r="L71" s="1341"/>
      <c r="M71" s="1341"/>
      <c r="N71" s="1341"/>
      <c r="O71" s="1341"/>
      <c r="P71" s="1341"/>
      <c r="Q71" s="1341"/>
    </row>
    <row r="72" spans="1:17" ht="15" customHeight="1">
      <c r="A72" s="1338" t="s">
        <v>417</v>
      </c>
      <c r="B72" s="1339"/>
      <c r="C72" s="1339"/>
      <c r="D72" s="1339"/>
      <c r="E72" s="1339"/>
      <c r="F72" s="1339"/>
      <c r="G72" s="1339"/>
      <c r="H72" s="1339"/>
      <c r="I72" s="1339"/>
      <c r="J72" s="777">
        <v>4.87</v>
      </c>
      <c r="K72" s="777">
        <v>1.67</v>
      </c>
      <c r="L72" s="777">
        <v>0.01</v>
      </c>
      <c r="M72" s="776"/>
      <c r="N72" s="776"/>
      <c r="O72" s="777">
        <v>0.2</v>
      </c>
      <c r="P72" s="776"/>
      <c r="Q72" s="776"/>
    </row>
    <row r="73" spans="1:17" ht="15" customHeight="1">
      <c r="A73" s="1338" t="s">
        <v>418</v>
      </c>
      <c r="B73" s="1339"/>
      <c r="C73" s="1339"/>
      <c r="D73" s="1339"/>
      <c r="E73" s="1339"/>
      <c r="F73" s="1339"/>
      <c r="G73" s="1339"/>
      <c r="H73" s="1339"/>
      <c r="I73" s="1339"/>
      <c r="J73" s="777">
        <v>35.880000000000003</v>
      </c>
      <c r="K73" s="777">
        <v>22.39</v>
      </c>
      <c r="L73" s="777">
        <v>0.06</v>
      </c>
      <c r="M73" s="776"/>
      <c r="N73" s="776"/>
      <c r="O73" s="777">
        <v>0.2</v>
      </c>
      <c r="P73" s="776"/>
      <c r="Q73" s="776"/>
    </row>
    <row r="74" spans="1:17" ht="15" customHeight="1">
      <c r="A74" s="1338" t="s">
        <v>683</v>
      </c>
      <c r="B74" s="1339"/>
      <c r="C74" s="1339"/>
      <c r="D74" s="1339"/>
      <c r="E74" s="1339"/>
      <c r="F74" s="1339"/>
      <c r="G74" s="1339"/>
      <c r="H74" s="1339"/>
      <c r="I74" s="1339"/>
      <c r="J74" s="776"/>
      <c r="K74" s="776"/>
      <c r="L74" s="776"/>
      <c r="M74" s="776"/>
      <c r="N74" s="776"/>
      <c r="O74" s="776"/>
      <c r="P74" s="776"/>
      <c r="Q74" s="776"/>
    </row>
    <row r="75" spans="1:17" ht="15" customHeight="1">
      <c r="A75" s="1338" t="s">
        <v>887</v>
      </c>
      <c r="B75" s="1339"/>
      <c r="C75" s="1339"/>
      <c r="D75" s="1339"/>
      <c r="E75" s="1339"/>
      <c r="F75" s="1339"/>
      <c r="G75" s="1339"/>
      <c r="H75" s="1339"/>
      <c r="I75" s="1339"/>
      <c r="J75" s="777">
        <v>31.01</v>
      </c>
      <c r="K75" s="777">
        <v>20.72</v>
      </c>
      <c r="L75" s="777">
        <v>0.05</v>
      </c>
      <c r="M75" s="776"/>
      <c r="N75" s="776"/>
      <c r="O75" s="776"/>
      <c r="P75" s="776"/>
      <c r="Q75" s="776"/>
    </row>
    <row r="76" spans="1:17" ht="15" customHeight="1">
      <c r="A76" s="1338" t="s">
        <v>172</v>
      </c>
      <c r="B76" s="1339"/>
      <c r="C76" s="1339"/>
      <c r="D76" s="1339"/>
      <c r="E76" s="1339"/>
      <c r="F76" s="1339"/>
      <c r="G76" s="1339"/>
      <c r="H76" s="1339"/>
      <c r="I76" s="1339"/>
      <c r="J76" s="777">
        <v>15.23</v>
      </c>
      <c r="K76" s="776"/>
      <c r="L76" s="776"/>
      <c r="M76" s="776"/>
      <c r="N76" s="776"/>
      <c r="O76" s="776"/>
      <c r="P76" s="776"/>
      <c r="Q76" s="776"/>
    </row>
    <row r="77" spans="1:17" ht="15" customHeight="1">
      <c r="A77" s="1338" t="s">
        <v>683</v>
      </c>
      <c r="B77" s="1339"/>
      <c r="C77" s="1339"/>
      <c r="D77" s="1339"/>
      <c r="E77" s="1339"/>
      <c r="F77" s="1339"/>
      <c r="G77" s="1339"/>
      <c r="H77" s="1339"/>
      <c r="I77" s="1339"/>
      <c r="J77" s="776"/>
      <c r="K77" s="776"/>
      <c r="L77" s="776"/>
      <c r="M77" s="776"/>
      <c r="N77" s="776"/>
      <c r="O77" s="776"/>
      <c r="P77" s="776"/>
      <c r="Q77" s="776"/>
    </row>
    <row r="78" spans="1:17" ht="15" customHeight="1">
      <c r="A78" s="1338" t="s">
        <v>888</v>
      </c>
      <c r="B78" s="1339"/>
      <c r="C78" s="1339"/>
      <c r="D78" s="1339"/>
      <c r="E78" s="1339"/>
      <c r="F78" s="1339"/>
      <c r="G78" s="1339"/>
      <c r="H78" s="1339"/>
      <c r="I78" s="1339"/>
      <c r="J78" s="777">
        <v>15.23</v>
      </c>
      <c r="K78" s="776"/>
      <c r="L78" s="776"/>
      <c r="M78" s="776"/>
      <c r="N78" s="776"/>
      <c r="O78" s="776"/>
      <c r="P78" s="776"/>
      <c r="Q78" s="776"/>
    </row>
    <row r="79" spans="1:17" ht="15" customHeight="1">
      <c r="A79" s="1338" t="s">
        <v>173</v>
      </c>
      <c r="B79" s="1339"/>
      <c r="C79" s="1339"/>
      <c r="D79" s="1339"/>
      <c r="E79" s="1339"/>
      <c r="F79" s="1339"/>
      <c r="G79" s="1339"/>
      <c r="H79" s="1339"/>
      <c r="I79" s="1339"/>
      <c r="J79" s="777">
        <v>8.9600000000000009</v>
      </c>
      <c r="K79" s="776"/>
      <c r="L79" s="776"/>
      <c r="M79" s="776"/>
      <c r="N79" s="776"/>
      <c r="O79" s="776"/>
      <c r="P79" s="776"/>
      <c r="Q79" s="776"/>
    </row>
    <row r="80" spans="1:17">
      <c r="A80" s="1338" t="s">
        <v>683</v>
      </c>
      <c r="B80" s="1339"/>
      <c r="C80" s="1339"/>
      <c r="D80" s="1339"/>
      <c r="E80" s="1339"/>
      <c r="F80" s="1339"/>
      <c r="G80" s="1339"/>
      <c r="H80" s="1339"/>
      <c r="I80" s="1339"/>
      <c r="J80" s="776"/>
      <c r="K80" s="776"/>
      <c r="L80" s="776"/>
      <c r="M80" s="776"/>
      <c r="N80" s="776"/>
      <c r="O80" s="776"/>
      <c r="P80" s="776"/>
      <c r="Q80" s="776"/>
    </row>
    <row r="81" spans="1:17">
      <c r="A81" s="1338" t="s">
        <v>889</v>
      </c>
      <c r="B81" s="1339"/>
      <c r="C81" s="1339"/>
      <c r="D81" s="1339"/>
      <c r="E81" s="1339"/>
      <c r="F81" s="1339"/>
      <c r="G81" s="1339"/>
      <c r="H81" s="1339"/>
      <c r="I81" s="1339"/>
      <c r="J81" s="777">
        <v>8.9600000000000009</v>
      </c>
      <c r="K81" s="776"/>
      <c r="L81" s="776"/>
      <c r="M81" s="776"/>
      <c r="N81" s="776"/>
      <c r="O81" s="776"/>
      <c r="P81" s="776"/>
      <c r="Q81" s="776"/>
    </row>
    <row r="82" spans="1:17" ht="15" customHeight="1">
      <c r="A82" s="1342" t="s">
        <v>419</v>
      </c>
      <c r="B82" s="1339"/>
      <c r="C82" s="1339"/>
      <c r="D82" s="1339"/>
      <c r="E82" s="1339"/>
      <c r="F82" s="1339"/>
      <c r="G82" s="1339"/>
      <c r="H82" s="1339"/>
      <c r="I82" s="1339"/>
      <c r="J82" s="776"/>
      <c r="K82" s="776"/>
      <c r="L82" s="776"/>
      <c r="M82" s="776"/>
      <c r="N82" s="776"/>
      <c r="O82" s="776"/>
      <c r="P82" s="776"/>
      <c r="Q82" s="776"/>
    </row>
    <row r="83" spans="1:17">
      <c r="A83" s="1338" t="s">
        <v>873</v>
      </c>
      <c r="B83" s="1339"/>
      <c r="C83" s="1339"/>
      <c r="D83" s="1339"/>
      <c r="E83" s="1339"/>
      <c r="F83" s="1339"/>
      <c r="G83" s="1339"/>
      <c r="H83" s="1339"/>
      <c r="I83" s="1339"/>
      <c r="J83" s="777">
        <v>60.07</v>
      </c>
      <c r="K83" s="776"/>
      <c r="L83" s="776"/>
      <c r="M83" s="776"/>
      <c r="N83" s="776"/>
      <c r="O83" s="777">
        <v>0.2</v>
      </c>
      <c r="P83" s="776"/>
      <c r="Q83" s="776"/>
    </row>
    <row r="84" spans="1:17">
      <c r="A84" s="1338" t="s">
        <v>559</v>
      </c>
      <c r="B84" s="1339"/>
      <c r="C84" s="1339"/>
      <c r="D84" s="1339"/>
      <c r="E84" s="1339"/>
      <c r="F84" s="1339"/>
      <c r="G84" s="1339"/>
      <c r="H84" s="1339"/>
      <c r="I84" s="1339"/>
      <c r="J84" s="777">
        <v>60.07</v>
      </c>
      <c r="K84" s="776"/>
      <c r="L84" s="776"/>
      <c r="M84" s="776"/>
      <c r="N84" s="776"/>
      <c r="O84" s="777">
        <v>0.2</v>
      </c>
      <c r="P84" s="776"/>
      <c r="Q84" s="776"/>
    </row>
    <row r="85" spans="1:17">
      <c r="A85" s="1338" t="s">
        <v>420</v>
      </c>
      <c r="B85" s="1339"/>
      <c r="C85" s="1339"/>
      <c r="D85" s="1339"/>
      <c r="E85" s="1339"/>
      <c r="F85" s="1339"/>
      <c r="G85" s="1339"/>
      <c r="H85" s="1339"/>
      <c r="I85" s="1339"/>
      <c r="J85" s="776"/>
      <c r="K85" s="776"/>
      <c r="L85" s="776"/>
      <c r="M85" s="776"/>
      <c r="N85" s="776"/>
      <c r="O85" s="776"/>
      <c r="P85" s="776"/>
      <c r="Q85" s="776"/>
    </row>
    <row r="86" spans="1:17">
      <c r="A86" s="1338" t="s">
        <v>421</v>
      </c>
      <c r="B86" s="1339"/>
      <c r="C86" s="1339"/>
      <c r="D86" s="1339"/>
      <c r="E86" s="1339"/>
      <c r="F86" s="1339"/>
      <c r="G86" s="1339"/>
      <c r="H86" s="1339"/>
      <c r="I86" s="1339"/>
      <c r="J86" s="777">
        <v>13.43</v>
      </c>
      <c r="K86" s="776"/>
      <c r="L86" s="776"/>
      <c r="M86" s="776"/>
      <c r="N86" s="776"/>
      <c r="O86" s="776"/>
      <c r="P86" s="776"/>
      <c r="Q86" s="776"/>
    </row>
    <row r="87" spans="1:17">
      <c r="A87" s="1338" t="s">
        <v>422</v>
      </c>
      <c r="B87" s="1339"/>
      <c r="C87" s="1339"/>
      <c r="D87" s="1339"/>
      <c r="E87" s="1339"/>
      <c r="F87" s="1339"/>
      <c r="G87" s="1339"/>
      <c r="H87" s="1339"/>
      <c r="I87" s="1339"/>
      <c r="J87" s="777">
        <v>0.06</v>
      </c>
      <c r="K87" s="776"/>
      <c r="L87" s="776"/>
      <c r="M87" s="776"/>
      <c r="N87" s="776"/>
      <c r="O87" s="776"/>
      <c r="P87" s="776"/>
      <c r="Q87" s="776"/>
    </row>
    <row r="88" spans="1:17">
      <c r="A88" s="1338" t="s">
        <v>423</v>
      </c>
      <c r="B88" s="1339"/>
      <c r="C88" s="1339"/>
      <c r="D88" s="1339"/>
      <c r="E88" s="1339"/>
      <c r="F88" s="1339"/>
      <c r="G88" s="1339"/>
      <c r="H88" s="1339"/>
      <c r="I88" s="1339"/>
      <c r="J88" s="777">
        <v>22.39</v>
      </c>
      <c r="K88" s="776"/>
      <c r="L88" s="776"/>
      <c r="M88" s="776"/>
      <c r="N88" s="776"/>
      <c r="O88" s="776"/>
      <c r="P88" s="776"/>
      <c r="Q88" s="776"/>
    </row>
    <row r="89" spans="1:17">
      <c r="A89" s="1338" t="s">
        <v>424</v>
      </c>
      <c r="B89" s="1339"/>
      <c r="C89" s="1339"/>
      <c r="D89" s="1339"/>
      <c r="E89" s="1339"/>
      <c r="F89" s="1339"/>
      <c r="G89" s="1339"/>
      <c r="H89" s="1339"/>
      <c r="I89" s="1339"/>
      <c r="J89" s="777">
        <v>15.23</v>
      </c>
      <c r="K89" s="776"/>
      <c r="L89" s="776"/>
      <c r="M89" s="776"/>
      <c r="N89" s="776"/>
      <c r="O89" s="776"/>
      <c r="P89" s="776"/>
      <c r="Q89" s="776"/>
    </row>
    <row r="90" spans="1:17">
      <c r="A90" s="1338" t="s">
        <v>425</v>
      </c>
      <c r="B90" s="1339"/>
      <c r="C90" s="1339"/>
      <c r="D90" s="1339"/>
      <c r="E90" s="1339"/>
      <c r="F90" s="1339"/>
      <c r="G90" s="1339"/>
      <c r="H90" s="1339"/>
      <c r="I90" s="1339"/>
      <c r="J90" s="777">
        <v>8.9600000000000009</v>
      </c>
      <c r="K90" s="776"/>
      <c r="L90" s="776"/>
      <c r="M90" s="776"/>
      <c r="N90" s="776"/>
      <c r="O90" s="776"/>
      <c r="P90" s="776"/>
      <c r="Q90" s="776"/>
    </row>
    <row r="91" spans="1:17">
      <c r="A91" s="1338" t="s">
        <v>426</v>
      </c>
      <c r="B91" s="1339"/>
      <c r="C91" s="1339"/>
      <c r="D91" s="1339"/>
      <c r="E91" s="1339"/>
      <c r="F91" s="1339"/>
      <c r="G91" s="1339"/>
      <c r="H91" s="1339"/>
      <c r="I91" s="1339"/>
      <c r="J91" s="777">
        <v>10.81</v>
      </c>
      <c r="K91" s="776"/>
      <c r="L91" s="776"/>
      <c r="M91" s="776"/>
      <c r="N91" s="776"/>
      <c r="O91" s="776"/>
      <c r="P91" s="776"/>
      <c r="Q91" s="776"/>
    </row>
    <row r="92" spans="1:17">
      <c r="A92" s="1342" t="s">
        <v>427</v>
      </c>
      <c r="B92" s="1339"/>
      <c r="C92" s="1339"/>
      <c r="D92" s="1339"/>
      <c r="E92" s="1339"/>
      <c r="F92" s="1339"/>
      <c r="G92" s="1339"/>
      <c r="H92" s="1339"/>
      <c r="I92" s="1339"/>
      <c r="J92" s="778">
        <v>69.290000000000006</v>
      </c>
      <c r="K92" s="776"/>
      <c r="L92" s="776"/>
      <c r="M92" s="776"/>
      <c r="N92" s="776"/>
      <c r="O92" s="778">
        <v>0.2</v>
      </c>
      <c r="P92" s="776"/>
      <c r="Q92" s="776"/>
    </row>
    <row r="93" spans="1:17">
      <c r="A93" s="747"/>
      <c r="B93" s="747"/>
      <c r="C93" s="747"/>
      <c r="D93" s="747"/>
      <c r="E93" s="747"/>
      <c r="F93" s="770"/>
      <c r="G93" s="770"/>
      <c r="H93" s="770"/>
      <c r="I93" s="770"/>
      <c r="J93" s="770"/>
      <c r="K93" s="770"/>
      <c r="L93" s="770"/>
      <c r="M93" s="770"/>
      <c r="N93" s="770"/>
      <c r="O93" s="770"/>
      <c r="P93" s="770"/>
      <c r="Q93" s="770"/>
    </row>
    <row r="94" spans="1:17">
      <c r="A94" s="747"/>
      <c r="B94" s="747"/>
      <c r="C94" s="747"/>
      <c r="D94" s="747"/>
      <c r="E94" s="747"/>
      <c r="F94" s="770"/>
      <c r="G94" s="770"/>
      <c r="H94" s="770"/>
      <c r="I94" s="770"/>
      <c r="J94" s="770"/>
      <c r="K94" s="770"/>
      <c r="L94" s="770"/>
      <c r="M94" s="770"/>
      <c r="N94" s="770"/>
      <c r="O94" s="770"/>
      <c r="P94" s="770"/>
      <c r="Q94" s="770"/>
    </row>
    <row r="95" spans="1:17">
      <c r="A95" s="747"/>
      <c r="B95" s="747"/>
      <c r="C95" s="747"/>
      <c r="D95" s="747"/>
      <c r="E95" s="747"/>
      <c r="F95" s="770"/>
      <c r="G95" s="770"/>
      <c r="H95" s="770"/>
      <c r="I95" s="770"/>
      <c r="J95" s="770"/>
      <c r="K95" s="770"/>
      <c r="L95" s="770"/>
      <c r="M95" s="770"/>
      <c r="N95" s="770"/>
      <c r="O95" s="770"/>
      <c r="P95" s="770"/>
      <c r="Q95" s="770"/>
    </row>
  </sheetData>
  <mergeCells count="87">
    <mergeCell ref="J60:K60"/>
    <mergeCell ref="J58:K58"/>
    <mergeCell ref="J59:K59"/>
    <mergeCell ref="A75:I75"/>
    <mergeCell ref="A76:I76"/>
    <mergeCell ref="A68:Q68"/>
    <mergeCell ref="Q64:Q66"/>
    <mergeCell ref="J65:J66"/>
    <mergeCell ref="K65:M65"/>
    <mergeCell ref="J64:M64"/>
    <mergeCell ref="P64:P66"/>
    <mergeCell ref="F65:F66"/>
    <mergeCell ref="F64:I64"/>
    <mergeCell ref="G65:I65"/>
    <mergeCell ref="O64:O66"/>
    <mergeCell ref="N64:N66"/>
    <mergeCell ref="J9:K9"/>
    <mergeCell ref="A48:I48"/>
    <mergeCell ref="J7:K7"/>
    <mergeCell ref="J8:K8"/>
    <mergeCell ref="A42:I42"/>
    <mergeCell ref="A43:I43"/>
    <mergeCell ref="A44:I44"/>
    <mergeCell ref="A45:I45"/>
    <mergeCell ref="A46:I46"/>
    <mergeCell ref="A47:I47"/>
    <mergeCell ref="A36:I36"/>
    <mergeCell ref="A37:I37"/>
    <mergeCell ref="A38:I38"/>
    <mergeCell ref="A39:I39"/>
    <mergeCell ref="A40:I40"/>
    <mergeCell ref="A41:I41"/>
    <mergeCell ref="A22:Q22"/>
    <mergeCell ref="A23:I23"/>
    <mergeCell ref="A35:I35"/>
    <mergeCell ref="A24:I24"/>
    <mergeCell ref="A25:I25"/>
    <mergeCell ref="A26:I26"/>
    <mergeCell ref="A27:I27"/>
    <mergeCell ref="A28:I28"/>
    <mergeCell ref="A29:I29"/>
    <mergeCell ref="A30:I30"/>
    <mergeCell ref="A31:I31"/>
    <mergeCell ref="A32:I32"/>
    <mergeCell ref="A33:I33"/>
    <mergeCell ref="A34:I34"/>
    <mergeCell ref="A17:Q17"/>
    <mergeCell ref="Q13:Q15"/>
    <mergeCell ref="J14:J15"/>
    <mergeCell ref="K14:M14"/>
    <mergeCell ref="J13:M13"/>
    <mergeCell ref="P13:P15"/>
    <mergeCell ref="F14:F15"/>
    <mergeCell ref="F13:I13"/>
    <mergeCell ref="G14:I14"/>
    <mergeCell ref="O13:O15"/>
    <mergeCell ref="N13:N15"/>
    <mergeCell ref="A13:A15"/>
    <mergeCell ref="C13:C15"/>
    <mergeCell ref="D13:D15"/>
    <mergeCell ref="E13:E15"/>
    <mergeCell ref="B13:B15"/>
    <mergeCell ref="A92:I92"/>
    <mergeCell ref="A81:I81"/>
    <mergeCell ref="A82:I82"/>
    <mergeCell ref="A83:I83"/>
    <mergeCell ref="A84:I84"/>
    <mergeCell ref="A85:I85"/>
    <mergeCell ref="A86:I86"/>
    <mergeCell ref="A87:I87"/>
    <mergeCell ref="A88:I88"/>
    <mergeCell ref="A89:I89"/>
    <mergeCell ref="A90:I90"/>
    <mergeCell ref="A91:I91"/>
    <mergeCell ref="A77:I77"/>
    <mergeCell ref="A78:I78"/>
    <mergeCell ref="A79:I79"/>
    <mergeCell ref="A80:I80"/>
    <mergeCell ref="A71:Q71"/>
    <mergeCell ref="A72:I72"/>
    <mergeCell ref="A73:I73"/>
    <mergeCell ref="A74:I74"/>
    <mergeCell ref="A64:A66"/>
    <mergeCell ref="C64:C66"/>
    <mergeCell ref="D64:D66"/>
    <mergeCell ref="E64:E66"/>
    <mergeCell ref="B64:B66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2"/>
  <sheetViews>
    <sheetView zoomScale="90" zoomScaleNormal="90" workbookViewId="0">
      <selection activeCell="F33" sqref="F33"/>
    </sheetView>
  </sheetViews>
  <sheetFormatPr defaultColWidth="18.7109375" defaultRowHeight="12.75"/>
  <cols>
    <col min="1" max="1" width="5.7109375" style="33" bestFit="1" customWidth="1"/>
    <col min="2" max="2" width="22.140625" style="33" customWidth="1"/>
    <col min="3" max="3" width="15.5703125" style="33" bestFit="1" customWidth="1"/>
    <col min="4" max="4" width="6.7109375" style="33" bestFit="1" customWidth="1"/>
    <col min="5" max="5" width="10.28515625" style="33" bestFit="1" customWidth="1"/>
    <col min="6" max="6" width="13.140625" style="33" bestFit="1" customWidth="1"/>
    <col min="7" max="8" width="10.28515625" style="33" bestFit="1" customWidth="1"/>
    <col min="9" max="16384" width="18.7109375" style="33"/>
  </cols>
  <sheetData>
    <row r="1" spans="1:8">
      <c r="C1" s="33" t="s">
        <v>542</v>
      </c>
      <c r="F1" s="37"/>
      <c r="G1" s="37"/>
    </row>
    <row r="2" spans="1:8">
      <c r="B2" s="1361" t="s">
        <v>474</v>
      </c>
      <c r="C2" s="1361"/>
      <c r="D2" s="1361"/>
      <c r="E2" s="1361"/>
      <c r="F2" s="1361"/>
      <c r="G2" s="1361"/>
      <c r="H2" s="1361"/>
    </row>
    <row r="3" spans="1:8">
      <c r="F3" s="37"/>
      <c r="G3" s="37"/>
    </row>
    <row r="4" spans="1:8">
      <c r="F4" s="37" t="s">
        <v>87</v>
      </c>
      <c r="G4" s="37">
        <f>ресурсы!D4</f>
        <v>72.260000000000005</v>
      </c>
      <c r="H4" s="33" t="s">
        <v>88</v>
      </c>
    </row>
    <row r="5" spans="1:8">
      <c r="B5" s="191" t="s">
        <v>146</v>
      </c>
      <c r="G5" s="37"/>
    </row>
    <row r="6" spans="1:8">
      <c r="B6" s="191" t="s">
        <v>89</v>
      </c>
      <c r="F6" s="33" t="s">
        <v>475</v>
      </c>
      <c r="G6" s="37"/>
    </row>
    <row r="7" spans="1:8">
      <c r="A7" s="1254" t="s">
        <v>26</v>
      </c>
      <c r="B7" s="1254" t="s">
        <v>148</v>
      </c>
      <c r="C7" s="1254" t="s">
        <v>476</v>
      </c>
      <c r="D7" s="24" t="s">
        <v>243</v>
      </c>
      <c r="E7" s="25" t="s">
        <v>477</v>
      </c>
      <c r="F7" s="1254" t="s">
        <v>97</v>
      </c>
      <c r="G7" s="1254" t="s">
        <v>478</v>
      </c>
      <c r="H7" s="22" t="s">
        <v>479</v>
      </c>
    </row>
    <row r="8" spans="1:8">
      <c r="A8" s="1255"/>
      <c r="B8" s="1255"/>
      <c r="C8" s="1255"/>
      <c r="D8" s="23" t="s">
        <v>480</v>
      </c>
      <c r="E8" s="23" t="s">
        <v>481</v>
      </c>
      <c r="F8" s="1255"/>
      <c r="G8" s="1255"/>
      <c r="H8" s="23" t="s">
        <v>88</v>
      </c>
    </row>
    <row r="9" spans="1:8" ht="25.5">
      <c r="A9" s="1254">
        <v>1</v>
      </c>
      <c r="B9" s="29" t="s">
        <v>482</v>
      </c>
      <c r="C9" s="29" t="s">
        <v>483</v>
      </c>
      <c r="D9" s="24" t="s">
        <v>484</v>
      </c>
      <c r="E9" s="26">
        <f>G4*E10</f>
        <v>8.6712000000000007</v>
      </c>
      <c r="F9" s="1261">
        <v>10</v>
      </c>
      <c r="G9" s="1254">
        <f>E10*F9</f>
        <v>1.2</v>
      </c>
      <c r="H9" s="1261">
        <f>E9*F9</f>
        <v>86.712000000000003</v>
      </c>
    </row>
    <row r="10" spans="1:8">
      <c r="A10" s="1359"/>
      <c r="B10" s="29" t="s">
        <v>485</v>
      </c>
      <c r="C10" s="29" t="s">
        <v>486</v>
      </c>
      <c r="D10" s="29">
        <v>1</v>
      </c>
      <c r="E10" s="29">
        <v>0.12</v>
      </c>
      <c r="F10" s="1360"/>
      <c r="G10" s="1359"/>
      <c r="H10" s="1360"/>
    </row>
    <row r="11" spans="1:8">
      <c r="A11" s="31"/>
      <c r="B11" s="159" t="s">
        <v>487</v>
      </c>
      <c r="C11" s="34"/>
      <c r="D11" s="34"/>
      <c r="E11" s="34"/>
      <c r="F11" s="34"/>
      <c r="G11" s="34"/>
      <c r="H11" s="57">
        <f>SUM(H9:H10)</f>
        <v>86.712000000000003</v>
      </c>
    </row>
    <row r="12" spans="1:8">
      <c r="A12" s="31"/>
      <c r="B12" s="159" t="s">
        <v>163</v>
      </c>
      <c r="C12" s="34">
        <v>1.2</v>
      </c>
      <c r="D12" s="34"/>
      <c r="E12" s="34"/>
      <c r="F12" s="34"/>
      <c r="G12" s="34"/>
      <c r="H12" s="57">
        <f>H11*C12</f>
        <v>104.0544</v>
      </c>
    </row>
    <row r="13" spans="1:8" ht="25.5">
      <c r="A13" s="31"/>
      <c r="B13" s="159" t="s">
        <v>164</v>
      </c>
      <c r="C13" s="34">
        <v>1.08</v>
      </c>
      <c r="D13" s="34"/>
      <c r="E13" s="34"/>
      <c r="F13" s="34"/>
      <c r="G13" s="34"/>
      <c r="H13" s="57">
        <f>H12*C13</f>
        <v>112.37875200000001</v>
      </c>
    </row>
    <row r="14" spans="1:8">
      <c r="A14" s="34"/>
      <c r="B14" s="35" t="s">
        <v>327</v>
      </c>
      <c r="C14" s="34">
        <v>1.18</v>
      </c>
      <c r="D14" s="34"/>
      <c r="E14" s="35"/>
      <c r="F14" s="35"/>
      <c r="G14" s="36"/>
      <c r="H14" s="36">
        <f>H13*C14</f>
        <v>132.60692735999999</v>
      </c>
    </row>
    <row r="19" spans="1:17" s="490" customFormat="1" ht="15">
      <c r="A19" s="1195" t="s">
        <v>781</v>
      </c>
      <c r="B19" s="1196"/>
      <c r="C19" s="1196"/>
      <c r="D19" s="1196"/>
      <c r="E19" s="1196"/>
      <c r="F19" s="1196"/>
      <c r="G19" s="1196"/>
      <c r="H19" s="1196"/>
      <c r="I19" s="1196"/>
      <c r="J19" s="1196"/>
      <c r="K19" s="1196"/>
      <c r="L19" s="1196"/>
      <c r="M19" s="1196"/>
      <c r="N19" s="1196"/>
      <c r="O19" s="1196"/>
      <c r="P19" s="1196"/>
      <c r="Q19" s="1196"/>
    </row>
    <row r="20" spans="1:17" ht="15">
      <c r="B20" s="192"/>
      <c r="C20" s="192"/>
      <c r="D20" s="192"/>
      <c r="E20" s="192"/>
      <c r="F20" s="192"/>
      <c r="G20" s="195"/>
      <c r="H20" s="195"/>
      <c r="I20" s="195"/>
    </row>
    <row r="21" spans="1:17" ht="15">
      <c r="B21" s="192"/>
      <c r="C21" s="192"/>
      <c r="D21" s="192"/>
      <c r="E21" s="192"/>
      <c r="F21" s="192"/>
      <c r="G21" s="195"/>
      <c r="H21" s="195"/>
      <c r="I21" s="195"/>
    </row>
    <row r="22" spans="1:17" ht="15">
      <c r="B22" s="192" t="s">
        <v>545</v>
      </c>
      <c r="C22" s="192"/>
      <c r="D22" s="1164"/>
      <c r="E22" s="1164"/>
      <c r="F22" s="1164"/>
      <c r="G22" s="1164"/>
      <c r="H22" s="1164"/>
      <c r="I22" s="1164"/>
    </row>
  </sheetData>
  <mergeCells count="12">
    <mergeCell ref="B2:H2"/>
    <mergeCell ref="A7:A8"/>
    <mergeCell ref="B7:B8"/>
    <mergeCell ref="C7:C8"/>
    <mergeCell ref="F7:F8"/>
    <mergeCell ref="G7:G8"/>
    <mergeCell ref="D22:I22"/>
    <mergeCell ref="A9:A10"/>
    <mergeCell ref="F9:F10"/>
    <mergeCell ref="G9:G10"/>
    <mergeCell ref="H9:H10"/>
    <mergeCell ref="A19:Q19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Q42"/>
  <sheetViews>
    <sheetView topLeftCell="A4" workbookViewId="0">
      <selection activeCell="E14" sqref="E14:E15"/>
    </sheetView>
  </sheetViews>
  <sheetFormatPr defaultRowHeight="15"/>
  <cols>
    <col min="1" max="1" width="3" style="167" customWidth="1"/>
    <col min="2" max="2" width="28" style="167" customWidth="1"/>
    <col min="3" max="3" width="15.7109375" style="167" customWidth="1"/>
    <col min="4" max="4" width="7.140625" style="167" bestFit="1" customWidth="1"/>
    <col min="5" max="5" width="9.5703125" style="167" bestFit="1" customWidth="1"/>
    <col min="6" max="6" width="6.85546875" style="167" bestFit="1" customWidth="1"/>
    <col min="7" max="7" width="10" style="167" bestFit="1" customWidth="1"/>
    <col min="8" max="10" width="11.5703125" style="167" bestFit="1" customWidth="1"/>
    <col min="11" max="11" width="9.5703125" style="167" bestFit="1" customWidth="1"/>
    <col min="12" max="16384" width="9.140625" style="167"/>
  </cols>
  <sheetData>
    <row r="1" spans="1:7">
      <c r="A1" s="39"/>
      <c r="B1" s="39"/>
      <c r="C1" s="39" t="s">
        <v>541</v>
      </c>
      <c r="D1" s="39"/>
      <c r="E1" s="39"/>
      <c r="F1" s="39"/>
      <c r="G1" s="39"/>
    </row>
    <row r="2" spans="1:7" ht="30.75" customHeight="1">
      <c r="A2" s="39"/>
      <c r="B2" s="1188" t="s">
        <v>501</v>
      </c>
      <c r="C2" s="1188"/>
      <c r="D2" s="1188"/>
      <c r="E2" s="1188"/>
      <c r="F2" s="1188"/>
      <c r="G2" s="1188"/>
    </row>
    <row r="3" spans="1:7">
      <c r="A3" s="39"/>
      <c r="B3" s="39"/>
      <c r="C3" s="39"/>
      <c r="D3" s="39"/>
      <c r="E3" s="39"/>
      <c r="F3" s="39"/>
      <c r="G3" s="39"/>
    </row>
    <row r="4" spans="1:7">
      <c r="A4" s="39"/>
      <c r="B4" s="39"/>
      <c r="C4" s="39"/>
      <c r="D4" s="39"/>
      <c r="E4" s="39" t="s">
        <v>0</v>
      </c>
      <c r="F4" s="358">
        <f>ресурсы!D4</f>
        <v>72.260000000000005</v>
      </c>
      <c r="G4" s="39" t="s">
        <v>88</v>
      </c>
    </row>
    <row r="5" spans="1:7" ht="25.5">
      <c r="A5" s="39"/>
      <c r="B5" s="39" t="s">
        <v>86</v>
      </c>
      <c r="C5" s="39"/>
      <c r="D5" s="39"/>
      <c r="E5" s="39"/>
      <c r="F5" s="39" t="s">
        <v>31</v>
      </c>
      <c r="G5" s="39"/>
    </row>
    <row r="6" spans="1:7" ht="15" customHeight="1">
      <c r="A6" s="1362" t="s">
        <v>26</v>
      </c>
      <c r="B6" s="1362" t="s">
        <v>148</v>
      </c>
      <c r="C6" s="1362" t="s">
        <v>502</v>
      </c>
      <c r="D6" s="242" t="s">
        <v>181</v>
      </c>
      <c r="E6" s="242" t="s">
        <v>96</v>
      </c>
      <c r="F6" s="242" t="s">
        <v>503</v>
      </c>
      <c r="G6" s="242" t="s">
        <v>479</v>
      </c>
    </row>
    <row r="7" spans="1:7">
      <c r="A7" s="1363"/>
      <c r="B7" s="1363"/>
      <c r="C7" s="1363"/>
      <c r="D7" s="244" t="s">
        <v>150</v>
      </c>
      <c r="E7" s="244" t="s">
        <v>504</v>
      </c>
      <c r="F7" s="244" t="s">
        <v>505</v>
      </c>
      <c r="G7" s="244" t="s">
        <v>506</v>
      </c>
    </row>
    <row r="8" spans="1:7" ht="25.5">
      <c r="A8" s="1362">
        <v>1</v>
      </c>
      <c r="B8" s="254" t="s">
        <v>507</v>
      </c>
      <c r="C8" s="1362" t="s">
        <v>644</v>
      </c>
      <c r="D8" s="1362" t="s">
        <v>508</v>
      </c>
      <c r="E8" s="1362">
        <f>ресурсы!D16</f>
        <v>321.43</v>
      </c>
      <c r="F8" s="1370">
        <v>0.44</v>
      </c>
      <c r="G8" s="1364">
        <f>E8*F8</f>
        <v>141.42920000000001</v>
      </c>
    </row>
    <row r="9" spans="1:7" ht="25.5">
      <c r="A9" s="1366"/>
      <c r="B9" s="254" t="s">
        <v>972</v>
      </c>
      <c r="C9" s="1366"/>
      <c r="D9" s="1366"/>
      <c r="E9" s="1366"/>
      <c r="F9" s="1371"/>
      <c r="G9" s="1367"/>
    </row>
    <row r="10" spans="1:7">
      <c r="A10" s="1366"/>
      <c r="B10" s="254" t="s">
        <v>974</v>
      </c>
      <c r="C10" s="1366"/>
      <c r="D10" s="1366"/>
      <c r="E10" s="1366"/>
      <c r="F10" s="1371"/>
      <c r="G10" s="1367"/>
    </row>
    <row r="11" spans="1:7">
      <c r="A11" s="1366"/>
      <c r="B11" s="254" t="s">
        <v>509</v>
      </c>
      <c r="C11" s="1366"/>
      <c r="D11" s="1366"/>
      <c r="E11" s="1366"/>
      <c r="F11" s="1371"/>
      <c r="G11" s="1367"/>
    </row>
    <row r="12" spans="1:7">
      <c r="A12" s="1366"/>
      <c r="B12" s="254" t="s">
        <v>647</v>
      </c>
      <c r="C12" s="1366"/>
      <c r="D12" s="1366"/>
      <c r="E12" s="1366"/>
      <c r="F12" s="1371"/>
      <c r="G12" s="1367"/>
    </row>
    <row r="13" spans="1:7">
      <c r="A13" s="1363"/>
      <c r="B13" s="256" t="s">
        <v>546</v>
      </c>
      <c r="C13" s="1363"/>
      <c r="D13" s="1363"/>
      <c r="E13" s="1363"/>
      <c r="F13" s="1372"/>
      <c r="G13" s="1365"/>
    </row>
    <row r="14" spans="1:7" customFormat="1" ht="25.5" customHeight="1">
      <c r="A14" s="1254">
        <v>1</v>
      </c>
      <c r="B14" s="29" t="s">
        <v>976</v>
      </c>
      <c r="C14" s="29" t="s">
        <v>613</v>
      </c>
      <c r="D14" s="29" t="s">
        <v>614</v>
      </c>
      <c r="E14" s="77">
        <f>E15*F4</f>
        <v>169.08840000000001</v>
      </c>
      <c r="F14" s="332">
        <v>1</v>
      </c>
      <c r="G14" s="1287">
        <f>E14*F14</f>
        <v>169.08840000000001</v>
      </c>
    </row>
    <row r="15" spans="1:7" customFormat="1" ht="14.25" customHeight="1">
      <c r="A15" s="1255"/>
      <c r="B15" s="23" t="s">
        <v>975</v>
      </c>
      <c r="C15" s="23" t="s">
        <v>977</v>
      </c>
      <c r="D15" s="23">
        <v>1</v>
      </c>
      <c r="E15" s="922">
        <v>2.34</v>
      </c>
      <c r="F15" s="333"/>
      <c r="G15" s="1288"/>
    </row>
    <row r="16" spans="1:7" hidden="1">
      <c r="A16" s="917"/>
      <c r="B16" s="254"/>
      <c r="C16" s="245"/>
      <c r="D16" s="245"/>
      <c r="E16" s="245"/>
      <c r="F16" s="921"/>
      <c r="G16" s="916"/>
    </row>
    <row r="17" spans="1:7" hidden="1">
      <c r="A17" s="917"/>
      <c r="B17" s="254"/>
      <c r="C17" s="245"/>
      <c r="D17" s="245"/>
      <c r="E17" s="245"/>
      <c r="F17" s="921"/>
      <c r="G17" s="916"/>
    </row>
    <row r="18" spans="1:7" hidden="1">
      <c r="A18" s="917"/>
      <c r="B18" s="254"/>
      <c r="C18" s="245"/>
      <c r="D18" s="245"/>
      <c r="E18" s="245"/>
      <c r="F18" s="921"/>
      <c r="G18" s="916"/>
    </row>
    <row r="19" spans="1:7" hidden="1">
      <c r="A19" s="917"/>
      <c r="B19" s="254"/>
      <c r="C19" s="245"/>
      <c r="D19" s="245"/>
      <c r="E19" s="245"/>
      <c r="F19" s="921"/>
      <c r="G19" s="916"/>
    </row>
    <row r="20" spans="1:7" hidden="1">
      <c r="A20" s="917"/>
      <c r="B20" s="254"/>
      <c r="C20" s="245"/>
      <c r="D20" s="245"/>
      <c r="E20" s="245"/>
      <c r="F20" s="921"/>
      <c r="G20" s="916"/>
    </row>
    <row r="21" spans="1:7" hidden="1">
      <c r="A21" s="917"/>
      <c r="B21" s="254"/>
      <c r="C21" s="245"/>
      <c r="D21" s="245"/>
      <c r="E21" s="245"/>
      <c r="F21" s="921"/>
      <c r="G21" s="916"/>
    </row>
    <row r="22" spans="1:7" ht="25.5" customHeight="1">
      <c r="A22" s="1362">
        <v>2</v>
      </c>
      <c r="B22" s="1368" t="s">
        <v>970</v>
      </c>
      <c r="C22" s="245" t="s">
        <v>510</v>
      </c>
      <c r="D22" s="245" t="s">
        <v>511</v>
      </c>
      <c r="E22" s="253">
        <f>E23*F4</f>
        <v>657.56600000000003</v>
      </c>
      <c r="F22" s="245">
        <v>0</v>
      </c>
      <c r="G22" s="1364">
        <f>E22*F22</f>
        <v>0</v>
      </c>
    </row>
    <row r="23" spans="1:7" ht="24" customHeight="1">
      <c r="A23" s="1366"/>
      <c r="B23" s="1369"/>
      <c r="C23" s="244"/>
      <c r="D23" s="243">
        <v>1</v>
      </c>
      <c r="E23" s="246">
        <v>9.1</v>
      </c>
      <c r="F23" s="246"/>
      <c r="G23" s="1367"/>
    </row>
    <row r="24" spans="1:7" ht="51">
      <c r="A24" s="1362">
        <v>3</v>
      </c>
      <c r="B24" s="254" t="s">
        <v>719</v>
      </c>
      <c r="C24" s="245" t="s">
        <v>512</v>
      </c>
      <c r="D24" s="243" t="s">
        <v>511</v>
      </c>
      <c r="E24" s="247">
        <f>E25*F4</f>
        <v>18.787600000000001</v>
      </c>
      <c r="F24" s="257">
        <v>6</v>
      </c>
      <c r="G24" s="1364">
        <f>E24*F24</f>
        <v>112.72560000000001</v>
      </c>
    </row>
    <row r="25" spans="1:7">
      <c r="A25" s="1363"/>
      <c r="B25" s="256" t="s">
        <v>720</v>
      </c>
      <c r="C25" s="244" t="s">
        <v>513</v>
      </c>
      <c r="D25" s="244">
        <v>1</v>
      </c>
      <c r="E25" s="244">
        <v>0.26</v>
      </c>
      <c r="F25" s="244"/>
      <c r="G25" s="1365"/>
    </row>
    <row r="26" spans="1:7">
      <c r="A26" s="1362">
        <v>4</v>
      </c>
      <c r="B26" s="254" t="s">
        <v>514</v>
      </c>
      <c r="C26" s="245"/>
      <c r="D26" s="245" t="s">
        <v>515</v>
      </c>
      <c r="E26" s="1362">
        <f>ресурсы!D26</f>
        <v>168.37</v>
      </c>
      <c r="F26" s="1362">
        <v>0.12</v>
      </c>
      <c r="G26" s="1364">
        <f>E26*F26</f>
        <v>20.2044</v>
      </c>
    </row>
    <row r="27" spans="1:7" ht="25.5">
      <c r="A27" s="1366"/>
      <c r="B27" s="254" t="s">
        <v>714</v>
      </c>
      <c r="C27" s="245" t="s">
        <v>635</v>
      </c>
      <c r="D27" s="245" t="s">
        <v>516</v>
      </c>
      <c r="E27" s="1366"/>
      <c r="F27" s="1366"/>
      <c r="G27" s="1367"/>
    </row>
    <row r="28" spans="1:7">
      <c r="A28" s="1366"/>
      <c r="B28" s="254"/>
      <c r="C28" s="248"/>
      <c r="D28" s="248"/>
      <c r="E28" s="1366"/>
      <c r="F28" s="1366"/>
      <c r="G28" s="1367"/>
    </row>
    <row r="29" spans="1:7">
      <c r="A29" s="250"/>
      <c r="B29" s="255" t="s">
        <v>487</v>
      </c>
      <c r="C29" s="241"/>
      <c r="D29" s="241"/>
      <c r="E29" s="241"/>
      <c r="F29" s="241"/>
      <c r="G29" s="258">
        <f>G14+G24</f>
        <v>281.81400000000002</v>
      </c>
    </row>
    <row r="30" spans="1:7" ht="25.5">
      <c r="A30" s="250"/>
      <c r="B30" s="255" t="s">
        <v>517</v>
      </c>
      <c r="C30" s="241">
        <v>1.1200000000000001</v>
      </c>
      <c r="D30" s="241"/>
      <c r="E30" s="241"/>
      <c r="F30" s="241"/>
      <c r="G30" s="249">
        <f>G29*C30</f>
        <v>315.63168000000007</v>
      </c>
    </row>
    <row r="31" spans="1:7">
      <c r="A31" s="250"/>
      <c r="B31" s="255" t="s">
        <v>169</v>
      </c>
      <c r="C31" s="241"/>
      <c r="D31" s="241"/>
      <c r="E31" s="241"/>
      <c r="F31" s="241"/>
      <c r="G31" s="249">
        <f>G30+G8+G26</f>
        <v>477.26528000000013</v>
      </c>
    </row>
    <row r="32" spans="1:7">
      <c r="A32" s="250"/>
      <c r="B32" s="255" t="s">
        <v>163</v>
      </c>
      <c r="C32" s="241">
        <v>1.2</v>
      </c>
      <c r="D32" s="241"/>
      <c r="E32" s="241"/>
      <c r="F32" s="241"/>
      <c r="G32" s="249">
        <f>G31*C32</f>
        <v>572.71833600000014</v>
      </c>
    </row>
    <row r="33" spans="1:17">
      <c r="A33" s="250"/>
      <c r="B33" s="255" t="s">
        <v>164</v>
      </c>
      <c r="C33" s="241">
        <v>1.08</v>
      </c>
      <c r="D33" s="241"/>
      <c r="E33" s="241"/>
      <c r="F33" s="241"/>
      <c r="G33" s="249">
        <f>G32*C33</f>
        <v>618.53580288000023</v>
      </c>
    </row>
    <row r="34" spans="1:17">
      <c r="A34" s="241"/>
      <c r="B34" s="251" t="s">
        <v>132</v>
      </c>
      <c r="C34" s="241">
        <v>1.18</v>
      </c>
      <c r="D34" s="241"/>
      <c r="E34" s="251"/>
      <c r="F34" s="251"/>
      <c r="G34" s="252">
        <f>G33*C34</f>
        <v>729.87224739840019</v>
      </c>
    </row>
    <row r="38" spans="1:17" s="490" customFormat="1">
      <c r="A38" s="1195" t="s">
        <v>781</v>
      </c>
      <c r="B38" s="1196"/>
      <c r="C38" s="1196"/>
      <c r="D38" s="1196"/>
      <c r="E38" s="1196"/>
      <c r="F38" s="1196"/>
      <c r="G38" s="1196"/>
      <c r="H38" s="1196"/>
      <c r="I38" s="1196"/>
      <c r="J38" s="1196"/>
      <c r="K38" s="1196"/>
      <c r="L38" s="1196"/>
      <c r="M38" s="1196"/>
      <c r="N38" s="1196"/>
      <c r="O38" s="1196"/>
      <c r="P38" s="1196"/>
      <c r="Q38" s="1196"/>
    </row>
    <row r="39" spans="1:17">
      <c r="B39" s="192"/>
      <c r="C39" s="192"/>
      <c r="D39" s="192"/>
      <c r="E39" s="192"/>
      <c r="F39" s="192"/>
      <c r="G39" s="195"/>
      <c r="H39" s="195"/>
      <c r="I39" s="195"/>
    </row>
    <row r="40" spans="1:17">
      <c r="B40" s="192"/>
      <c r="C40" s="192"/>
      <c r="D40" s="192"/>
      <c r="E40" s="192"/>
      <c r="F40" s="192"/>
      <c r="G40" s="195"/>
      <c r="H40" s="195"/>
      <c r="I40" s="195"/>
    </row>
    <row r="41" spans="1:17" ht="15" customHeight="1">
      <c r="B41" s="192" t="s">
        <v>545</v>
      </c>
      <c r="C41" s="192"/>
      <c r="D41" s="1164"/>
      <c r="E41" s="1164"/>
      <c r="F41" s="1164"/>
      <c r="G41" s="1164"/>
      <c r="H41" s="1164"/>
      <c r="I41" s="1164"/>
    </row>
    <row r="42" spans="1:17">
      <c r="B42" s="168"/>
      <c r="C42" s="168"/>
      <c r="D42" s="168"/>
      <c r="E42" s="168"/>
      <c r="F42" s="168"/>
      <c r="G42" s="168"/>
      <c r="H42" s="168"/>
      <c r="I42" s="168"/>
    </row>
  </sheetData>
  <mergeCells count="23">
    <mergeCell ref="B2:G2"/>
    <mergeCell ref="A6:A7"/>
    <mergeCell ref="B6:B7"/>
    <mergeCell ref="C6:C7"/>
    <mergeCell ref="F8:F13"/>
    <mergeCell ref="G8:G13"/>
    <mergeCell ref="A22:A23"/>
    <mergeCell ref="B22:B23"/>
    <mergeCell ref="G22:G23"/>
    <mergeCell ref="A8:A13"/>
    <mergeCell ref="C8:C13"/>
    <mergeCell ref="D8:D13"/>
    <mergeCell ref="E8:E13"/>
    <mergeCell ref="A14:A15"/>
    <mergeCell ref="G14:G15"/>
    <mergeCell ref="D41:I41"/>
    <mergeCell ref="A24:A25"/>
    <mergeCell ref="G24:G25"/>
    <mergeCell ref="A26:A28"/>
    <mergeCell ref="E26:E28"/>
    <mergeCell ref="F26:F28"/>
    <mergeCell ref="G26:G28"/>
    <mergeCell ref="A38:Q38"/>
  </mergeCells>
  <phoneticPr fontId="18" type="noConversion"/>
  <pageMargins left="0.7" right="0.7" top="0.75" bottom="0.75" header="0.3" footer="0.3"/>
  <pageSetup paperSize="9" orientation="portrait" r:id="rId1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>
  <dimension ref="A1:Q23"/>
  <sheetViews>
    <sheetView workbookViewId="0">
      <selection activeCell="L24" sqref="L24"/>
    </sheetView>
  </sheetViews>
  <sheetFormatPr defaultRowHeight="15"/>
  <cols>
    <col min="1" max="1" width="4.42578125" style="168" customWidth="1"/>
    <col min="2" max="2" width="22.28515625" style="168" customWidth="1"/>
    <col min="3" max="5" width="9.140625" style="168" customWidth="1"/>
    <col min="6" max="6" width="8.42578125" style="168" customWidth="1"/>
    <col min="7" max="7" width="8.140625" style="168" customWidth="1"/>
    <col min="8" max="16384" width="9.140625" style="168"/>
  </cols>
  <sheetData>
    <row r="1" spans="1:8">
      <c r="A1" s="38"/>
      <c r="B1" s="38"/>
      <c r="C1" s="38" t="s">
        <v>639</v>
      </c>
      <c r="D1" s="38"/>
      <c r="E1" s="38"/>
      <c r="F1" s="38"/>
      <c r="G1" s="38"/>
      <c r="H1" s="38"/>
    </row>
    <row r="2" spans="1:8">
      <c r="A2" s="1171" t="s">
        <v>518</v>
      </c>
      <c r="B2" s="1171"/>
      <c r="C2" s="1171"/>
      <c r="D2" s="1171"/>
      <c r="E2" s="1171"/>
      <c r="F2" s="1171"/>
      <c r="G2" s="1171"/>
      <c r="H2" s="1171"/>
    </row>
    <row r="3" spans="1:8">
      <c r="A3" s="38"/>
      <c r="B3" s="38"/>
      <c r="C3" s="38"/>
      <c r="D3" s="38"/>
      <c r="E3" s="38"/>
      <c r="F3" s="38"/>
      <c r="G3" s="38"/>
      <c r="H3" s="38"/>
    </row>
    <row r="4" spans="1:8">
      <c r="A4" s="1373" t="s">
        <v>146</v>
      </c>
      <c r="B4" s="1373"/>
      <c r="C4" s="38"/>
      <c r="D4" s="38"/>
      <c r="E4" s="38"/>
      <c r="F4" s="38" t="s">
        <v>0</v>
      </c>
      <c r="G4" s="125">
        <f>ресурсы!D4</f>
        <v>72.260000000000005</v>
      </c>
      <c r="H4" s="38" t="s">
        <v>88</v>
      </c>
    </row>
    <row r="5" spans="1:8">
      <c r="A5" s="38"/>
      <c r="B5" s="15" t="s">
        <v>89</v>
      </c>
      <c r="C5" s="38"/>
      <c r="D5" s="38"/>
      <c r="E5" s="38"/>
      <c r="F5" s="1325" t="s">
        <v>52</v>
      </c>
      <c r="G5" s="1325"/>
      <c r="H5" s="38"/>
    </row>
    <row r="6" spans="1:8" ht="25.5">
      <c r="A6" s="1374" t="s">
        <v>26</v>
      </c>
      <c r="B6" s="1374" t="s">
        <v>148</v>
      </c>
      <c r="C6" s="1374" t="s">
        <v>519</v>
      </c>
      <c r="D6" s="262" t="s">
        <v>181</v>
      </c>
      <c r="E6" s="262" t="s">
        <v>96</v>
      </c>
      <c r="F6" s="1374" t="s">
        <v>97</v>
      </c>
      <c r="G6" s="1374" t="s">
        <v>520</v>
      </c>
      <c r="H6" s="263" t="s">
        <v>521</v>
      </c>
    </row>
    <row r="7" spans="1:8" ht="25.5">
      <c r="A7" s="1375"/>
      <c r="B7" s="1375"/>
      <c r="C7" s="1375"/>
      <c r="D7" s="264" t="s">
        <v>480</v>
      </c>
      <c r="E7" s="264" t="s">
        <v>522</v>
      </c>
      <c r="F7" s="1375"/>
      <c r="G7" s="1375"/>
      <c r="H7" s="264" t="s">
        <v>88</v>
      </c>
    </row>
    <row r="8" spans="1:8" ht="51">
      <c r="A8" s="1376" t="s">
        <v>523</v>
      </c>
      <c r="B8" s="265" t="s">
        <v>602</v>
      </c>
      <c r="C8" s="266" t="s">
        <v>524</v>
      </c>
      <c r="D8" s="262" t="s">
        <v>525</v>
      </c>
      <c r="E8" s="267">
        <f>E9*G4</f>
        <v>197.2698</v>
      </c>
      <c r="F8" s="265">
        <v>0.05</v>
      </c>
      <c r="G8" s="268">
        <f>E9*F8</f>
        <v>0.13650000000000001</v>
      </c>
      <c r="H8" s="269">
        <f>E8*F8</f>
        <v>9.8634900000000005</v>
      </c>
    </row>
    <row r="9" spans="1:8">
      <c r="A9" s="1377"/>
      <c r="B9" s="270" t="s">
        <v>547</v>
      </c>
      <c r="C9" s="265" t="s">
        <v>526</v>
      </c>
      <c r="D9" s="265">
        <v>1</v>
      </c>
      <c r="E9" s="265">
        <v>2.73</v>
      </c>
      <c r="F9" s="265"/>
      <c r="G9" s="268"/>
      <c r="H9" s="265"/>
    </row>
    <row r="10" spans="1:8" ht="25.5" customHeight="1">
      <c r="A10" s="1377"/>
      <c r="B10" s="1379" t="s">
        <v>527</v>
      </c>
      <c r="C10" s="271" t="s">
        <v>528</v>
      </c>
      <c r="D10" s="262" t="s">
        <v>511</v>
      </c>
      <c r="E10" s="272">
        <f>E11*G4</f>
        <v>296.26600000000002</v>
      </c>
      <c r="F10" s="263">
        <v>0.05</v>
      </c>
      <c r="G10" s="273">
        <f>E11*F10</f>
        <v>0.20499999999999999</v>
      </c>
      <c r="H10" s="274">
        <f>E10*F10</f>
        <v>14.813300000000002</v>
      </c>
    </row>
    <row r="11" spans="1:8" ht="27" customHeight="1">
      <c r="A11" s="1378"/>
      <c r="B11" s="1380"/>
      <c r="C11" s="275" t="s">
        <v>529</v>
      </c>
      <c r="D11" s="264">
        <v>1</v>
      </c>
      <c r="E11" s="264">
        <v>4.0999999999999996</v>
      </c>
      <c r="F11" s="276"/>
      <c r="G11" s="276"/>
      <c r="H11" s="276"/>
    </row>
    <row r="12" spans="1:8">
      <c r="A12" s="277"/>
      <c r="B12" s="278" t="s">
        <v>530</v>
      </c>
      <c r="C12" s="260"/>
      <c r="D12" s="260"/>
      <c r="E12" s="260"/>
      <c r="F12" s="260"/>
      <c r="G12" s="260"/>
      <c r="H12" s="261">
        <f>H8+H10</f>
        <v>24.676790000000004</v>
      </c>
    </row>
    <row r="13" spans="1:8" ht="25.5">
      <c r="A13" s="277"/>
      <c r="B13" s="278" t="s">
        <v>499</v>
      </c>
      <c r="C13" s="260">
        <v>1.1200000000000001</v>
      </c>
      <c r="D13" s="260"/>
      <c r="E13" s="260"/>
      <c r="F13" s="260"/>
      <c r="G13" s="260"/>
      <c r="H13" s="261">
        <f>H12*C13</f>
        <v>27.638004800000008</v>
      </c>
    </row>
    <row r="14" spans="1:8">
      <c r="A14" s="277"/>
      <c r="B14" s="278" t="s">
        <v>163</v>
      </c>
      <c r="C14" s="260">
        <v>1.2</v>
      </c>
      <c r="D14" s="260"/>
      <c r="E14" s="260"/>
      <c r="F14" s="260"/>
      <c r="G14" s="260"/>
      <c r="H14" s="261">
        <f>H13*C14</f>
        <v>33.165605760000005</v>
      </c>
    </row>
    <row r="15" spans="1:8" ht="25.5">
      <c r="A15" s="277"/>
      <c r="B15" s="278" t="s">
        <v>164</v>
      </c>
      <c r="C15" s="260">
        <v>1.08</v>
      </c>
      <c r="D15" s="260"/>
      <c r="E15" s="260"/>
      <c r="F15" s="260"/>
      <c r="G15" s="260"/>
      <c r="H15" s="261">
        <f>H14*C15</f>
        <v>35.818854220800006</v>
      </c>
    </row>
    <row r="16" spans="1:8">
      <c r="A16" s="260"/>
      <c r="B16" s="278" t="s">
        <v>132</v>
      </c>
      <c r="C16" s="259">
        <v>1.18</v>
      </c>
      <c r="D16" s="260"/>
      <c r="E16" s="260"/>
      <c r="F16" s="260"/>
      <c r="G16" s="260"/>
      <c r="H16" s="261">
        <f>H15*C16</f>
        <v>42.266247980544001</v>
      </c>
    </row>
    <row r="17" spans="1:17" ht="30" customHeight="1"/>
    <row r="20" spans="1:17" s="490" customFormat="1">
      <c r="A20" s="1195" t="s">
        <v>781</v>
      </c>
      <c r="B20" s="1196"/>
      <c r="C20" s="1196"/>
      <c r="D20" s="1196"/>
      <c r="E20" s="1196"/>
      <c r="F20" s="1196"/>
      <c r="G20" s="1196"/>
      <c r="H20" s="1196"/>
      <c r="I20" s="1196"/>
      <c r="J20" s="1196"/>
      <c r="K20" s="1196"/>
      <c r="L20" s="1196"/>
      <c r="M20" s="1196"/>
      <c r="N20" s="1196"/>
      <c r="O20" s="1196"/>
      <c r="P20" s="1196"/>
      <c r="Q20" s="1196"/>
    </row>
    <row r="21" spans="1:17">
      <c r="B21" s="192"/>
      <c r="C21" s="192"/>
      <c r="D21" s="192"/>
      <c r="E21" s="192"/>
      <c r="F21" s="192"/>
      <c r="G21" s="195"/>
      <c r="H21" s="195"/>
      <c r="I21" s="195"/>
    </row>
    <row r="22" spans="1:17">
      <c r="B22" s="192"/>
      <c r="C22" s="192"/>
      <c r="D22" s="192"/>
      <c r="E22" s="192"/>
      <c r="F22" s="192"/>
      <c r="G22" s="195"/>
      <c r="H22" s="195"/>
      <c r="I22" s="195"/>
    </row>
    <row r="23" spans="1:17" ht="15" customHeight="1">
      <c r="B23" s="192" t="s">
        <v>545</v>
      </c>
      <c r="C23" s="192"/>
      <c r="D23" s="1164"/>
      <c r="E23" s="1164"/>
      <c r="F23" s="1164"/>
      <c r="G23" s="1164"/>
      <c r="H23" s="1164"/>
      <c r="I23" s="1164"/>
    </row>
  </sheetData>
  <mergeCells count="12">
    <mergeCell ref="A4:B4"/>
    <mergeCell ref="A2:H2"/>
    <mergeCell ref="F5:G5"/>
    <mergeCell ref="D23:I23"/>
    <mergeCell ref="A6:A7"/>
    <mergeCell ref="B6:B7"/>
    <mergeCell ref="C6:C7"/>
    <mergeCell ref="F6:F7"/>
    <mergeCell ref="G6:G7"/>
    <mergeCell ref="A8:A11"/>
    <mergeCell ref="B10:B11"/>
    <mergeCell ref="A20:Q20"/>
  </mergeCells>
  <phoneticPr fontId="18" type="noConversion"/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3:Q39"/>
  <sheetViews>
    <sheetView topLeftCell="A10" workbookViewId="0">
      <selection activeCell="I29" sqref="I29"/>
    </sheetView>
  </sheetViews>
  <sheetFormatPr defaultRowHeight="15"/>
  <cols>
    <col min="1" max="1" width="4" customWidth="1"/>
    <col min="2" max="2" width="25.85546875" customWidth="1"/>
    <col min="3" max="3" width="7.28515625" customWidth="1"/>
    <col min="4" max="5" width="10.42578125" customWidth="1"/>
    <col min="6" max="6" width="10.5703125" customWidth="1"/>
  </cols>
  <sheetData>
    <row r="3" spans="1:7">
      <c r="A3" s="330"/>
      <c r="B3" s="330"/>
      <c r="C3" s="330" t="s">
        <v>640</v>
      </c>
      <c r="D3" s="330"/>
      <c r="E3" s="330"/>
      <c r="F3" s="330"/>
      <c r="G3" s="330"/>
    </row>
    <row r="4" spans="1:7">
      <c r="A4" s="330"/>
      <c r="B4" s="1251" t="s">
        <v>609</v>
      </c>
      <c r="C4" s="1251"/>
      <c r="D4" s="1251"/>
      <c r="E4" s="1251"/>
      <c r="F4" s="1251"/>
      <c r="G4" s="1251"/>
    </row>
    <row r="5" spans="1:7">
      <c r="A5" s="330"/>
      <c r="B5" s="330"/>
      <c r="C5" s="330"/>
      <c r="D5" s="330"/>
      <c r="E5" s="330"/>
      <c r="F5" s="330"/>
      <c r="G5" s="330"/>
    </row>
    <row r="6" spans="1:7">
      <c r="A6" s="330"/>
      <c r="B6" s="330" t="s">
        <v>86</v>
      </c>
      <c r="C6" s="330"/>
      <c r="D6" s="330"/>
      <c r="E6" s="330" t="s">
        <v>0</v>
      </c>
      <c r="F6" s="343">
        <f>ресурсы!D4</f>
        <v>72.260000000000005</v>
      </c>
      <c r="G6" s="330" t="s">
        <v>88</v>
      </c>
    </row>
    <row r="7" spans="1:7">
      <c r="A7" s="330"/>
      <c r="B7" s="330" t="s">
        <v>89</v>
      </c>
      <c r="C7" s="330"/>
      <c r="D7" s="330"/>
      <c r="E7" s="330"/>
      <c r="F7" s="330" t="s">
        <v>31</v>
      </c>
      <c r="G7" s="331" t="s">
        <v>610</v>
      </c>
    </row>
    <row r="8" spans="1:7" ht="25.5">
      <c r="A8" s="1254" t="s">
        <v>26</v>
      </c>
      <c r="B8" s="1254" t="s">
        <v>148</v>
      </c>
      <c r="C8" s="1254" t="s">
        <v>519</v>
      </c>
      <c r="D8" s="22" t="s">
        <v>611</v>
      </c>
      <c r="E8" s="22" t="s">
        <v>477</v>
      </c>
      <c r="F8" s="22" t="s">
        <v>503</v>
      </c>
      <c r="G8" s="22" t="s">
        <v>521</v>
      </c>
    </row>
    <row r="9" spans="1:7" ht="18.75" customHeight="1">
      <c r="A9" s="1255"/>
      <c r="B9" s="1255"/>
      <c r="C9" s="1255"/>
      <c r="D9" s="23" t="s">
        <v>480</v>
      </c>
      <c r="E9" s="23" t="s">
        <v>504</v>
      </c>
      <c r="F9" s="23"/>
      <c r="G9" s="23" t="s">
        <v>88</v>
      </c>
    </row>
    <row r="10" spans="1:7" ht="25.5" customHeight="1">
      <c r="A10" s="1254">
        <v>1</v>
      </c>
      <c r="B10" s="29" t="s">
        <v>612</v>
      </c>
      <c r="C10" s="29" t="s">
        <v>613</v>
      </c>
      <c r="D10" s="29" t="s">
        <v>614</v>
      </c>
      <c r="E10" s="77">
        <f>E11*F6</f>
        <v>45.523800000000001</v>
      </c>
      <c r="F10" s="332">
        <v>10</v>
      </c>
      <c r="G10" s="1287">
        <f>E10*F10</f>
        <v>455.238</v>
      </c>
    </row>
    <row r="11" spans="1:7" ht="14.25" customHeight="1">
      <c r="A11" s="1255"/>
      <c r="B11" s="23" t="s">
        <v>715</v>
      </c>
      <c r="C11" s="23" t="s">
        <v>630</v>
      </c>
      <c r="D11" s="23">
        <v>1</v>
      </c>
      <c r="E11" s="345">
        <v>0.63</v>
      </c>
      <c r="F11" s="333"/>
      <c r="G11" s="1288"/>
    </row>
    <row r="12" spans="1:7" ht="51" customHeight="1">
      <c r="A12" s="911"/>
      <c r="B12" s="335" t="s">
        <v>978</v>
      </c>
      <c r="C12" s="919" t="s">
        <v>619</v>
      </c>
      <c r="D12" s="22" t="s">
        <v>90</v>
      </c>
      <c r="E12" s="925">
        <f>E13*F6</f>
        <v>169.08840000000001</v>
      </c>
      <c r="F12" s="926">
        <v>1</v>
      </c>
      <c r="G12" s="913">
        <f>E12*F12</f>
        <v>169.08840000000001</v>
      </c>
    </row>
    <row r="13" spans="1:7" ht="14.25" customHeight="1">
      <c r="A13" s="915"/>
      <c r="B13" s="29" t="s">
        <v>616</v>
      </c>
      <c r="C13" s="29" t="s">
        <v>979</v>
      </c>
      <c r="D13" s="29"/>
      <c r="E13" s="923">
        <v>2.34</v>
      </c>
      <c r="F13" s="924"/>
      <c r="G13" s="918"/>
    </row>
    <row r="14" spans="1:7" ht="14.25" customHeight="1">
      <c r="A14" s="912"/>
      <c r="B14" s="23" t="s">
        <v>973</v>
      </c>
      <c r="C14" s="23"/>
      <c r="D14" s="23"/>
      <c r="E14" s="345"/>
      <c r="F14" s="333"/>
      <c r="G14" s="914"/>
    </row>
    <row r="15" spans="1:7" ht="54" customHeight="1">
      <c r="A15" s="1359">
        <v>2</v>
      </c>
      <c r="B15" s="29" t="s">
        <v>648</v>
      </c>
      <c r="C15" s="29" t="s">
        <v>615</v>
      </c>
      <c r="D15" s="29" t="s">
        <v>31</v>
      </c>
      <c r="E15" s="77">
        <f>F6*E16</f>
        <v>657.56600000000003</v>
      </c>
      <c r="F15" s="29">
        <v>0</v>
      </c>
      <c r="G15" s="1381">
        <f>E15*F15</f>
        <v>0</v>
      </c>
    </row>
    <row r="16" spans="1:7" ht="15" customHeight="1">
      <c r="A16" s="1359"/>
      <c r="B16" s="29" t="s">
        <v>616</v>
      </c>
      <c r="C16" s="29" t="s">
        <v>617</v>
      </c>
      <c r="D16" s="29">
        <v>1</v>
      </c>
      <c r="E16" s="29">
        <v>9.1</v>
      </c>
      <c r="F16" s="330"/>
      <c r="G16" s="1381"/>
    </row>
    <row r="17" spans="1:9" ht="18" customHeight="1">
      <c r="A17" s="1359"/>
      <c r="B17" s="29" t="s">
        <v>973</v>
      </c>
      <c r="C17" s="334"/>
      <c r="D17" s="334"/>
      <c r="E17" s="334"/>
      <c r="F17" s="334"/>
      <c r="G17" s="1381"/>
    </row>
    <row r="18" spans="1:9" ht="18" customHeight="1">
      <c r="A18" s="915"/>
      <c r="B18" s="29"/>
      <c r="C18" s="334"/>
      <c r="D18" s="334"/>
      <c r="E18" s="334"/>
      <c r="F18" s="334"/>
      <c r="G18" s="918"/>
    </row>
    <row r="19" spans="1:9" ht="60.75" customHeight="1">
      <c r="A19" s="1384">
        <v>3</v>
      </c>
      <c r="B19" s="335" t="s">
        <v>618</v>
      </c>
      <c r="C19" s="24" t="s">
        <v>619</v>
      </c>
      <c r="D19" s="24" t="s">
        <v>31</v>
      </c>
      <c r="E19" s="32">
        <f>F6*E20</f>
        <v>137.29400000000001</v>
      </c>
      <c r="F19" s="24">
        <v>2.5</v>
      </c>
      <c r="G19" s="1385">
        <f>E19*F19</f>
        <v>343.23500000000001</v>
      </c>
    </row>
    <row r="20" spans="1:9" ht="13.5" customHeight="1">
      <c r="A20" s="1384"/>
      <c r="B20" s="24" t="s">
        <v>620</v>
      </c>
      <c r="C20" s="24" t="s">
        <v>621</v>
      </c>
      <c r="D20" s="24">
        <v>1</v>
      </c>
      <c r="E20" s="24">
        <v>1.9</v>
      </c>
      <c r="F20" s="336"/>
      <c r="G20" s="1385"/>
    </row>
    <row r="21" spans="1:9" ht="54.75" customHeight="1">
      <c r="A21" s="1254">
        <v>4</v>
      </c>
      <c r="B21" s="337" t="s">
        <v>718</v>
      </c>
      <c r="C21" s="29" t="s">
        <v>613</v>
      </c>
      <c r="D21" s="29" t="s">
        <v>622</v>
      </c>
      <c r="E21" s="77">
        <f>F6*E22</f>
        <v>18.787600000000001</v>
      </c>
      <c r="F21" s="332">
        <v>6</v>
      </c>
      <c r="G21" s="1287">
        <f>E21*F21</f>
        <v>112.72560000000001</v>
      </c>
    </row>
    <row r="22" spans="1:9" ht="16.5" customHeight="1">
      <c r="A22" s="1255"/>
      <c r="B22" s="23" t="s">
        <v>716</v>
      </c>
      <c r="C22" s="23" t="s">
        <v>513</v>
      </c>
      <c r="D22" s="23">
        <v>1</v>
      </c>
      <c r="E22" s="23">
        <v>0.26</v>
      </c>
      <c r="F22" s="333"/>
      <c r="G22" s="1288"/>
    </row>
    <row r="23" spans="1:9" ht="29.25" hidden="1" customHeight="1">
      <c r="A23" s="1254">
        <v>5</v>
      </c>
      <c r="B23" s="337" t="s">
        <v>645</v>
      </c>
      <c r="C23" s="29" t="s">
        <v>624</v>
      </c>
      <c r="D23" s="29" t="s">
        <v>625</v>
      </c>
      <c r="E23" s="77">
        <f>E24*F6</f>
        <v>8.6712000000000007</v>
      </c>
      <c r="F23" s="332">
        <v>1.42</v>
      </c>
      <c r="G23" s="1287"/>
    </row>
    <row r="24" spans="1:9" hidden="1">
      <c r="A24" s="1255"/>
      <c r="B24" s="23" t="s">
        <v>646</v>
      </c>
      <c r="C24" s="23" t="s">
        <v>626</v>
      </c>
      <c r="D24" s="23">
        <v>1</v>
      </c>
      <c r="E24" s="23">
        <v>0.12</v>
      </c>
      <c r="F24" s="333"/>
      <c r="G24" s="1288"/>
    </row>
    <row r="25" spans="1:9" ht="39" customHeight="1">
      <c r="A25" s="1254">
        <v>6</v>
      </c>
      <c r="B25" s="29" t="s">
        <v>717</v>
      </c>
      <c r="C25" s="29" t="s">
        <v>635</v>
      </c>
      <c r="D25" s="29" t="s">
        <v>627</v>
      </c>
      <c r="E25" s="1254">
        <f>ресурсы!D26</f>
        <v>168.37</v>
      </c>
      <c r="F25" s="1382">
        <f>120/1000</f>
        <v>0.12</v>
      </c>
      <c r="G25" s="1287">
        <f>E25*F25</f>
        <v>20.2044</v>
      </c>
    </row>
    <row r="26" spans="1:9">
      <c r="A26" s="1359"/>
      <c r="B26" s="29"/>
      <c r="C26" s="29"/>
      <c r="D26" s="29" t="s">
        <v>628</v>
      </c>
      <c r="E26" s="1359"/>
      <c r="F26" s="1383"/>
      <c r="G26" s="1381"/>
    </row>
    <row r="27" spans="1:9" ht="17.25" customHeight="1">
      <c r="A27" s="31"/>
      <c r="B27" s="338" t="s">
        <v>487</v>
      </c>
      <c r="C27" s="339"/>
      <c r="D27" s="339"/>
      <c r="E27" s="339"/>
      <c r="F27" s="339"/>
      <c r="G27" s="340">
        <f>G10+G12+G19+G21</f>
        <v>1080.287</v>
      </c>
    </row>
    <row r="28" spans="1:9" ht="17.25" customHeight="1">
      <c r="A28" s="31"/>
      <c r="B28" s="338" t="s">
        <v>629</v>
      </c>
      <c r="C28" s="339">
        <v>1.1200000000000001</v>
      </c>
      <c r="D28" s="339"/>
      <c r="E28" s="339"/>
      <c r="F28" s="339"/>
      <c r="G28" s="340">
        <f>G27*C28</f>
        <v>1209.9214400000001</v>
      </c>
    </row>
    <row r="29" spans="1:9" ht="18" customHeight="1">
      <c r="A29" s="31"/>
      <c r="B29" s="338" t="s">
        <v>169</v>
      </c>
      <c r="C29" s="339"/>
      <c r="D29" s="339"/>
      <c r="E29" s="339"/>
      <c r="F29" s="339"/>
      <c r="G29" s="340">
        <f>G28+G25</f>
        <v>1230.1258400000002</v>
      </c>
    </row>
    <row r="30" spans="1:9" ht="18" customHeight="1">
      <c r="A30" s="31"/>
      <c r="B30" s="338" t="s">
        <v>163</v>
      </c>
      <c r="C30" s="339">
        <v>1.2</v>
      </c>
      <c r="D30" s="339"/>
      <c r="E30" s="339"/>
      <c r="F30" s="339"/>
      <c r="G30" s="340">
        <f>G29*C30</f>
        <v>1476.151008</v>
      </c>
      <c r="H30" s="344"/>
    </row>
    <row r="31" spans="1:9" ht="24.75" customHeight="1">
      <c r="A31" s="31"/>
      <c r="B31" s="338" t="s">
        <v>164</v>
      </c>
      <c r="C31" s="339">
        <v>1.08</v>
      </c>
      <c r="D31" s="339"/>
      <c r="E31" s="339"/>
      <c r="F31" s="339"/>
      <c r="G31" s="340">
        <f>G30*C31</f>
        <v>1594.2430886400002</v>
      </c>
      <c r="H31" s="344"/>
      <c r="I31" s="344"/>
    </row>
    <row r="32" spans="1:9" ht="12.75" customHeight="1">
      <c r="A32" s="339"/>
      <c r="B32" s="341" t="s">
        <v>132</v>
      </c>
      <c r="C32" s="339">
        <v>1.18</v>
      </c>
      <c r="D32" s="339"/>
      <c r="E32" s="341"/>
      <c r="F32" s="341"/>
      <c r="G32" s="342">
        <f>G31*C32</f>
        <v>1881.2068445952002</v>
      </c>
      <c r="H32" s="344"/>
      <c r="I32" s="344"/>
    </row>
    <row r="35" spans="1:17" s="490" customFormat="1">
      <c r="A35" s="1195" t="s">
        <v>781</v>
      </c>
      <c r="B35" s="1196"/>
      <c r="C35" s="1196"/>
      <c r="D35" s="1196"/>
      <c r="E35" s="1196"/>
      <c r="F35" s="1196"/>
      <c r="G35" s="1196"/>
      <c r="H35" s="1196"/>
      <c r="I35" s="1196"/>
      <c r="J35" s="1196"/>
      <c r="K35" s="1196"/>
      <c r="L35" s="1196"/>
      <c r="M35" s="1196"/>
      <c r="N35" s="1196"/>
      <c r="O35" s="1196"/>
      <c r="P35" s="1196"/>
      <c r="Q35" s="1196"/>
    </row>
    <row r="36" spans="1:17">
      <c r="B36" s="192"/>
      <c r="C36" s="192"/>
      <c r="D36" s="192"/>
      <c r="E36" s="192"/>
      <c r="F36" s="192"/>
      <c r="G36" s="195"/>
      <c r="H36" s="195"/>
      <c r="I36" s="195"/>
    </row>
    <row r="37" spans="1:17">
      <c r="B37" s="192"/>
      <c r="C37" s="192"/>
      <c r="D37" s="192"/>
      <c r="E37" s="192"/>
      <c r="F37" s="192"/>
      <c r="G37" s="195"/>
      <c r="H37" s="195"/>
      <c r="I37" s="195"/>
    </row>
    <row r="38" spans="1:17">
      <c r="B38" s="192" t="s">
        <v>545</v>
      </c>
      <c r="C38" s="192"/>
      <c r="D38" s="1164"/>
      <c r="E38" s="1164"/>
      <c r="F38" s="1164"/>
      <c r="G38" s="1164"/>
      <c r="H38" s="1164"/>
      <c r="I38" s="1164"/>
    </row>
    <row r="39" spans="1:17">
      <c r="B39" s="168"/>
      <c r="C39" s="168"/>
      <c r="D39" s="168"/>
      <c r="E39" s="168"/>
      <c r="F39" s="168"/>
      <c r="G39" s="168"/>
      <c r="H39" s="168"/>
      <c r="I39" s="168"/>
    </row>
  </sheetData>
  <mergeCells count="20">
    <mergeCell ref="A15:A17"/>
    <mergeCell ref="G15:G17"/>
    <mergeCell ref="A25:A26"/>
    <mergeCell ref="E25:E26"/>
    <mergeCell ref="F25:F26"/>
    <mergeCell ref="G25:G26"/>
    <mergeCell ref="A19:A20"/>
    <mergeCell ref="G19:G20"/>
    <mergeCell ref="B4:G4"/>
    <mergeCell ref="A8:A9"/>
    <mergeCell ref="B8:B9"/>
    <mergeCell ref="C8:C9"/>
    <mergeCell ref="A10:A11"/>
    <mergeCell ref="G10:G11"/>
    <mergeCell ref="A21:A22"/>
    <mergeCell ref="G21:G22"/>
    <mergeCell ref="A23:A24"/>
    <mergeCell ref="G23:G24"/>
    <mergeCell ref="D38:I38"/>
    <mergeCell ref="A35:Q35"/>
  </mergeCells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3:Q25"/>
  <sheetViews>
    <sheetView workbookViewId="0">
      <selection activeCell="A2" sqref="A2:G19"/>
    </sheetView>
  </sheetViews>
  <sheetFormatPr defaultRowHeight="15"/>
  <cols>
    <col min="1" max="1" width="3" customWidth="1"/>
    <col min="2" max="2" width="25.42578125" customWidth="1"/>
  </cols>
  <sheetData>
    <row r="3" spans="1:7">
      <c r="A3" s="330"/>
      <c r="B3" s="330"/>
      <c r="C3" s="330" t="s">
        <v>710</v>
      </c>
      <c r="D3" s="330"/>
      <c r="E3" s="330"/>
      <c r="F3" s="330"/>
      <c r="G3" s="330"/>
    </row>
    <row r="4" spans="1:7">
      <c r="A4" s="330"/>
      <c r="B4" s="1251" t="s">
        <v>636</v>
      </c>
      <c r="C4" s="1251"/>
      <c r="D4" s="1251"/>
      <c r="E4" s="1251"/>
      <c r="F4" s="1251"/>
      <c r="G4" s="1251"/>
    </row>
    <row r="5" spans="1:7">
      <c r="A5" s="330"/>
      <c r="B5" s="330"/>
      <c r="C5" s="330"/>
      <c r="D5" s="330"/>
      <c r="E5" s="330"/>
      <c r="F5" s="330"/>
      <c r="G5" s="330"/>
    </row>
    <row r="6" spans="1:7">
      <c r="A6" s="330"/>
      <c r="B6" s="330" t="s">
        <v>86</v>
      </c>
      <c r="C6" s="330"/>
      <c r="D6" s="330"/>
      <c r="E6" s="330" t="s">
        <v>0</v>
      </c>
      <c r="F6" s="343">
        <f>ресурсы!D4</f>
        <v>72.260000000000005</v>
      </c>
      <c r="G6" s="330" t="s">
        <v>88</v>
      </c>
    </row>
    <row r="7" spans="1:7">
      <c r="A7" s="330"/>
      <c r="B7" s="330" t="s">
        <v>89</v>
      </c>
      <c r="C7" s="330"/>
      <c r="D7" s="330"/>
      <c r="E7" s="330"/>
      <c r="F7" s="330" t="s">
        <v>31</v>
      </c>
      <c r="G7" s="331" t="s">
        <v>610</v>
      </c>
    </row>
    <row r="8" spans="1:7" ht="25.5">
      <c r="A8" s="1254" t="s">
        <v>26</v>
      </c>
      <c r="B8" s="1254" t="s">
        <v>148</v>
      </c>
      <c r="C8" s="1254" t="s">
        <v>519</v>
      </c>
      <c r="D8" s="22" t="s">
        <v>611</v>
      </c>
      <c r="E8" s="22" t="s">
        <v>477</v>
      </c>
      <c r="F8" s="22" t="s">
        <v>503</v>
      </c>
      <c r="G8" s="22" t="s">
        <v>521</v>
      </c>
    </row>
    <row r="9" spans="1:7" ht="15.75" customHeight="1">
      <c r="A9" s="1255"/>
      <c r="B9" s="1255"/>
      <c r="C9" s="1255"/>
      <c r="D9" s="23" t="s">
        <v>480</v>
      </c>
      <c r="E9" s="23" t="s">
        <v>504</v>
      </c>
      <c r="F9" s="23"/>
      <c r="G9" s="23" t="s">
        <v>88</v>
      </c>
    </row>
    <row r="10" spans="1:7" ht="29.25" customHeight="1">
      <c r="A10" s="1254">
        <v>1</v>
      </c>
      <c r="B10" s="29" t="s">
        <v>612</v>
      </c>
      <c r="C10" s="29" t="s">
        <v>613</v>
      </c>
      <c r="D10" s="29" t="s">
        <v>614</v>
      </c>
      <c r="E10" s="77">
        <f>E11*F6</f>
        <v>45.523800000000001</v>
      </c>
      <c r="F10" s="332">
        <v>2</v>
      </c>
      <c r="G10" s="1287">
        <f>E10*F10</f>
        <v>91.047600000000003</v>
      </c>
    </row>
    <row r="11" spans="1:7" ht="18.75" customHeight="1">
      <c r="A11" s="1255"/>
      <c r="B11" s="23" t="s">
        <v>649</v>
      </c>
      <c r="C11" s="23" t="s">
        <v>630</v>
      </c>
      <c r="D11" s="23">
        <v>1</v>
      </c>
      <c r="E11" s="345">
        <v>0.63</v>
      </c>
      <c r="F11" s="333"/>
      <c r="G11" s="1288"/>
    </row>
    <row r="12" spans="1:7" ht="0.75" hidden="1" customHeight="1">
      <c r="A12" s="1254">
        <v>5</v>
      </c>
      <c r="B12" s="337" t="s">
        <v>623</v>
      </c>
      <c r="C12" s="29" t="s">
        <v>624</v>
      </c>
      <c r="D12" s="29" t="s">
        <v>625</v>
      </c>
      <c r="E12" s="77">
        <f>E13*F6</f>
        <v>8.6712000000000007</v>
      </c>
      <c r="F12" s="332"/>
      <c r="G12" s="1287">
        <f>E12*F12</f>
        <v>0</v>
      </c>
    </row>
    <row r="13" spans="1:7" ht="17.25" hidden="1" customHeight="1">
      <c r="A13" s="1255"/>
      <c r="B13" s="23" t="s">
        <v>643</v>
      </c>
      <c r="C13" s="23" t="s">
        <v>626</v>
      </c>
      <c r="D13" s="23">
        <v>1</v>
      </c>
      <c r="E13" s="23">
        <v>0.12</v>
      </c>
      <c r="F13" s="333"/>
      <c r="G13" s="1288"/>
    </row>
    <row r="14" spans="1:7" ht="17.25" customHeight="1">
      <c r="A14" s="31"/>
      <c r="B14" s="338" t="s">
        <v>487</v>
      </c>
      <c r="C14" s="339"/>
      <c r="D14" s="339"/>
      <c r="E14" s="339"/>
      <c r="F14" s="339"/>
      <c r="G14" s="340">
        <f>G10+G12</f>
        <v>91.047600000000003</v>
      </c>
    </row>
    <row r="15" spans="1:7" ht="18.75" customHeight="1">
      <c r="A15" s="31"/>
      <c r="B15" s="338" t="s">
        <v>629</v>
      </c>
      <c r="C15" s="339">
        <v>1.1200000000000001</v>
      </c>
      <c r="D15" s="339"/>
      <c r="E15" s="339"/>
      <c r="F15" s="339"/>
      <c r="G15" s="340">
        <f>G14*C15</f>
        <v>101.97331200000001</v>
      </c>
    </row>
    <row r="16" spans="1:7" ht="21.75" customHeight="1">
      <c r="A16" s="31"/>
      <c r="B16" s="338" t="s">
        <v>169</v>
      </c>
      <c r="C16" s="339"/>
      <c r="D16" s="339"/>
      <c r="E16" s="339"/>
      <c r="F16" s="339"/>
      <c r="G16" s="340">
        <f>G15</f>
        <v>101.97331200000001</v>
      </c>
    </row>
    <row r="17" spans="1:17" ht="20.25" customHeight="1">
      <c r="A17" s="31"/>
      <c r="B17" s="338" t="s">
        <v>163</v>
      </c>
      <c r="C17" s="339">
        <v>1.2</v>
      </c>
      <c r="D17" s="339"/>
      <c r="E17" s="339"/>
      <c r="F17" s="339"/>
      <c r="G17" s="340">
        <f>G16*C17</f>
        <v>122.36797440000001</v>
      </c>
    </row>
    <row r="18" spans="1:17" ht="22.5" customHeight="1">
      <c r="A18" s="31"/>
      <c r="B18" s="338" t="s">
        <v>164</v>
      </c>
      <c r="C18" s="339">
        <v>1.08</v>
      </c>
      <c r="D18" s="339"/>
      <c r="E18" s="339"/>
      <c r="F18" s="339"/>
      <c r="G18" s="340">
        <f>G17*C18</f>
        <v>132.15741235200002</v>
      </c>
    </row>
    <row r="19" spans="1:17" ht="16.5" customHeight="1">
      <c r="A19" s="339"/>
      <c r="B19" s="341" t="s">
        <v>132</v>
      </c>
      <c r="C19" s="339">
        <v>1.18</v>
      </c>
      <c r="D19" s="339"/>
      <c r="E19" s="341"/>
      <c r="F19" s="341"/>
      <c r="G19" s="342">
        <f>G18*C19</f>
        <v>155.94574657536</v>
      </c>
    </row>
    <row r="21" spans="1:17" s="490" customFormat="1">
      <c r="A21" s="1195" t="s">
        <v>781</v>
      </c>
      <c r="B21" s="1196"/>
      <c r="C21" s="1196"/>
      <c r="D21" s="1196"/>
      <c r="E21" s="1196"/>
      <c r="F21" s="1196"/>
      <c r="G21" s="1196"/>
      <c r="H21" s="1196"/>
      <c r="I21" s="1196"/>
      <c r="J21" s="1196"/>
      <c r="K21" s="1196"/>
      <c r="L21" s="1196"/>
      <c r="M21" s="1196"/>
      <c r="N21" s="1196"/>
      <c r="O21" s="1196"/>
      <c r="P21" s="1196"/>
      <c r="Q21" s="1196"/>
    </row>
    <row r="22" spans="1:17">
      <c r="B22" s="192"/>
      <c r="C22" s="192"/>
      <c r="D22" s="192"/>
      <c r="E22" s="192"/>
      <c r="F22" s="192"/>
      <c r="G22" s="195"/>
      <c r="H22" s="195"/>
      <c r="I22" s="195"/>
    </row>
    <row r="23" spans="1:17">
      <c r="B23" s="192"/>
      <c r="C23" s="192"/>
      <c r="D23" s="192"/>
      <c r="E23" s="192"/>
      <c r="F23" s="192"/>
      <c r="G23" s="195"/>
      <c r="H23" s="195"/>
      <c r="I23" s="195"/>
    </row>
    <row r="24" spans="1:17">
      <c r="B24" s="192" t="s">
        <v>545</v>
      </c>
      <c r="C24" s="192"/>
      <c r="D24" s="1164"/>
      <c r="E24" s="1164"/>
      <c r="F24" s="1164"/>
      <c r="G24" s="1164"/>
      <c r="H24" s="1164"/>
      <c r="I24" s="1164"/>
    </row>
    <row r="25" spans="1:17">
      <c r="B25" s="168"/>
      <c r="C25" s="168"/>
      <c r="D25" s="168"/>
      <c r="E25" s="168"/>
      <c r="F25" s="168"/>
      <c r="G25" s="168"/>
      <c r="H25" s="168"/>
      <c r="I25" s="168"/>
    </row>
  </sheetData>
  <mergeCells count="10">
    <mergeCell ref="A12:A13"/>
    <mergeCell ref="G12:G13"/>
    <mergeCell ref="D24:I24"/>
    <mergeCell ref="B4:G4"/>
    <mergeCell ref="A8:A9"/>
    <mergeCell ref="B8:B9"/>
    <mergeCell ref="C8:C9"/>
    <mergeCell ref="A10:A11"/>
    <mergeCell ref="G10:G11"/>
    <mergeCell ref="A21:Q21"/>
  </mergeCell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Q41"/>
  <sheetViews>
    <sheetView topLeftCell="B10" workbookViewId="0">
      <selection activeCell="J41" sqref="J41"/>
    </sheetView>
  </sheetViews>
  <sheetFormatPr defaultRowHeight="15"/>
  <cols>
    <col min="1" max="1" width="3" customWidth="1"/>
    <col min="2" max="2" width="16.5703125" customWidth="1"/>
    <col min="3" max="3" width="35.28515625" customWidth="1"/>
    <col min="4" max="4" width="13.85546875" customWidth="1"/>
  </cols>
  <sheetData>
    <row r="1" spans="1:17">
      <c r="A1" s="781"/>
      <c r="B1" s="784"/>
      <c r="C1" s="779"/>
      <c r="D1" s="780"/>
      <c r="E1" s="783"/>
      <c r="F1" s="782"/>
      <c r="G1" s="782"/>
      <c r="H1" s="790" t="s">
        <v>650</v>
      </c>
      <c r="I1" s="790"/>
      <c r="J1" s="782"/>
      <c r="K1" s="782"/>
      <c r="L1" s="782"/>
      <c r="M1" s="782"/>
      <c r="N1" s="782"/>
      <c r="O1" s="782"/>
      <c r="P1" s="782"/>
      <c r="Q1" s="782"/>
    </row>
    <row r="2" spans="1:17">
      <c r="A2" s="781"/>
      <c r="B2" s="784"/>
      <c r="C2" s="779"/>
      <c r="D2" s="780"/>
      <c r="E2" s="783"/>
      <c r="F2" s="782"/>
      <c r="G2" s="782"/>
      <c r="H2" s="781" t="s">
        <v>651</v>
      </c>
      <c r="I2" s="781"/>
      <c r="J2" s="782"/>
      <c r="K2" s="782"/>
      <c r="L2" s="782"/>
      <c r="M2" s="782"/>
      <c r="N2" s="782"/>
      <c r="O2" s="782"/>
      <c r="P2" s="782"/>
      <c r="Q2" s="782"/>
    </row>
    <row r="3" spans="1:17" ht="6.75" customHeight="1">
      <c r="A3" s="781"/>
      <c r="B3" s="784"/>
      <c r="C3" s="779"/>
      <c r="D3" s="780"/>
      <c r="E3" s="783"/>
      <c r="F3" s="782"/>
      <c r="G3" s="782"/>
      <c r="H3" s="782"/>
      <c r="I3" s="782"/>
      <c r="J3" s="782"/>
      <c r="K3" s="782"/>
      <c r="L3" s="782"/>
      <c r="M3" s="782"/>
      <c r="N3" s="782"/>
      <c r="O3" s="782"/>
      <c r="P3" s="782"/>
      <c r="Q3" s="782"/>
    </row>
    <row r="4" spans="1:17">
      <c r="A4" s="781"/>
      <c r="B4" s="784"/>
      <c r="C4" s="791" t="s">
        <v>652</v>
      </c>
      <c r="D4" s="792" t="s">
        <v>890</v>
      </c>
      <c r="E4" s="793"/>
      <c r="F4" s="782"/>
      <c r="G4" s="782"/>
      <c r="H4" s="781"/>
      <c r="I4" s="782"/>
      <c r="J4" s="782"/>
      <c r="K4" s="786"/>
      <c r="L4" s="786"/>
      <c r="M4" s="782"/>
      <c r="N4" s="782"/>
      <c r="O4" s="782"/>
      <c r="P4" s="782"/>
      <c r="Q4" s="782"/>
    </row>
    <row r="5" spans="1:17">
      <c r="A5" s="781"/>
      <c r="B5" s="784"/>
      <c r="C5" s="779"/>
      <c r="D5" s="780"/>
      <c r="E5" s="794"/>
      <c r="F5" s="787"/>
      <c r="G5" s="787"/>
      <c r="H5" s="788" t="s">
        <v>407</v>
      </c>
      <c r="I5" s="788"/>
      <c r="J5" s="787"/>
      <c r="K5" s="789"/>
      <c r="L5" s="782"/>
      <c r="M5" s="782"/>
      <c r="N5" s="782"/>
      <c r="O5" s="782"/>
      <c r="P5" s="782"/>
      <c r="Q5" s="782"/>
    </row>
    <row r="6" spans="1:17" ht="8.25" customHeight="1">
      <c r="A6" s="795"/>
      <c r="B6" s="796"/>
      <c r="C6" s="779"/>
      <c r="D6" s="780"/>
      <c r="E6" s="783"/>
      <c r="F6" s="782"/>
      <c r="G6" s="782"/>
      <c r="H6" s="782"/>
      <c r="I6" s="782"/>
      <c r="J6" s="782"/>
      <c r="K6" s="782"/>
      <c r="L6" s="782"/>
      <c r="M6" s="782"/>
      <c r="N6" s="782"/>
      <c r="O6" s="782"/>
      <c r="P6" s="782"/>
      <c r="Q6" s="782"/>
    </row>
    <row r="7" spans="1:17">
      <c r="A7" s="781"/>
      <c r="B7" s="784"/>
      <c r="C7" s="779"/>
      <c r="D7" s="793" t="s">
        <v>556</v>
      </c>
      <c r="E7" s="781"/>
      <c r="F7" s="782"/>
      <c r="G7" s="782"/>
      <c r="H7" s="782"/>
      <c r="I7" s="793"/>
      <c r="J7" s="1386" t="s">
        <v>891</v>
      </c>
      <c r="K7" s="1387"/>
      <c r="L7" s="785" t="s">
        <v>848</v>
      </c>
      <c r="M7" s="782"/>
      <c r="N7" s="782"/>
      <c r="O7" s="782"/>
      <c r="P7" s="782"/>
      <c r="Q7" s="782"/>
    </row>
    <row r="8" spans="1:17">
      <c r="A8" s="781"/>
      <c r="B8" s="784"/>
      <c r="C8" s="779"/>
      <c r="D8" s="793" t="s">
        <v>654</v>
      </c>
      <c r="E8" s="781"/>
      <c r="F8" s="782"/>
      <c r="G8" s="782"/>
      <c r="H8" s="782"/>
      <c r="I8" s="793"/>
      <c r="J8" s="1386" t="s">
        <v>892</v>
      </c>
      <c r="K8" s="1387"/>
      <c r="L8" s="785" t="s">
        <v>848</v>
      </c>
      <c r="M8" s="782"/>
      <c r="N8" s="782"/>
      <c r="O8" s="782"/>
      <c r="P8" s="782"/>
      <c r="Q8" s="782"/>
    </row>
    <row r="9" spans="1:17" ht="15" customHeight="1">
      <c r="A9" s="781"/>
      <c r="B9" s="784"/>
      <c r="C9" s="779"/>
      <c r="D9" s="793" t="s">
        <v>655</v>
      </c>
      <c r="E9" s="781"/>
      <c r="F9" s="782"/>
      <c r="G9" s="782"/>
      <c r="H9" s="782"/>
      <c r="I9" s="793"/>
      <c r="J9" s="1386" t="s">
        <v>656</v>
      </c>
      <c r="K9" s="1387"/>
      <c r="L9" s="785" t="s">
        <v>657</v>
      </c>
      <c r="M9" s="782"/>
      <c r="N9" s="782"/>
      <c r="O9" s="782"/>
      <c r="P9" s="782"/>
      <c r="Q9" s="782"/>
    </row>
    <row r="10" spans="1:17" ht="15" customHeight="1">
      <c r="A10" s="781"/>
      <c r="B10" s="784"/>
      <c r="C10" s="779"/>
      <c r="D10" s="801" t="s">
        <v>682</v>
      </c>
      <c r="E10" s="781"/>
      <c r="F10" s="782"/>
      <c r="G10" s="782"/>
      <c r="H10" s="782"/>
      <c r="I10" s="782"/>
      <c r="J10" s="782"/>
      <c r="K10" s="782"/>
      <c r="L10" s="782"/>
      <c r="M10" s="782"/>
      <c r="N10" s="782"/>
      <c r="O10" s="782"/>
      <c r="P10" s="782"/>
      <c r="Q10" s="782"/>
    </row>
    <row r="11" spans="1:17">
      <c r="A11" s="781"/>
      <c r="B11" s="784"/>
      <c r="C11" s="779"/>
      <c r="D11" s="780"/>
      <c r="E11" s="781"/>
      <c r="F11" s="782"/>
      <c r="G11" s="782"/>
      <c r="H11" s="782"/>
      <c r="I11" s="782"/>
      <c r="J11" s="782"/>
      <c r="K11" s="782"/>
      <c r="L11" s="782"/>
      <c r="M11" s="782"/>
      <c r="N11" s="782"/>
      <c r="O11" s="782"/>
      <c r="P11" s="782"/>
      <c r="Q11" s="782"/>
    </row>
    <row r="12" spans="1:17" ht="15" hidden="1" customHeight="1">
      <c r="A12" s="479"/>
      <c r="B12" s="481"/>
      <c r="C12" s="477"/>
      <c r="D12" s="478"/>
      <c r="E12" s="479"/>
      <c r="F12" s="480"/>
      <c r="G12" s="480"/>
      <c r="H12" s="480"/>
      <c r="I12" s="480"/>
      <c r="J12" s="480"/>
      <c r="K12" s="480"/>
      <c r="L12" s="480"/>
      <c r="M12" s="480"/>
      <c r="N12" s="480"/>
      <c r="O12" s="480"/>
      <c r="P12" s="480"/>
      <c r="Q12" s="480"/>
    </row>
    <row r="13" spans="1:17" ht="15" customHeight="1">
      <c r="A13" s="1394" t="s">
        <v>408</v>
      </c>
      <c r="B13" s="1397" t="s">
        <v>851</v>
      </c>
      <c r="C13" s="1394" t="s">
        <v>409</v>
      </c>
      <c r="D13" s="1394" t="s">
        <v>181</v>
      </c>
      <c r="E13" s="1394" t="s">
        <v>410</v>
      </c>
      <c r="F13" s="1394" t="s">
        <v>411</v>
      </c>
      <c r="G13" s="1395"/>
      <c r="H13" s="1395"/>
      <c r="I13" s="1395"/>
      <c r="J13" s="1394" t="s">
        <v>412</v>
      </c>
      <c r="K13" s="1395"/>
      <c r="L13" s="1395"/>
      <c r="M13" s="1395"/>
      <c r="N13" s="1394" t="s">
        <v>658</v>
      </c>
      <c r="O13" s="1394" t="s">
        <v>659</v>
      </c>
      <c r="P13" s="1394" t="s">
        <v>660</v>
      </c>
      <c r="Q13" s="1394" t="s">
        <v>661</v>
      </c>
    </row>
    <row r="14" spans="1:17" ht="27.75" customHeight="1">
      <c r="A14" s="1395"/>
      <c r="B14" s="1398"/>
      <c r="C14" s="1396"/>
      <c r="D14" s="1394"/>
      <c r="E14" s="1395"/>
      <c r="F14" s="1394" t="s">
        <v>170</v>
      </c>
      <c r="G14" s="1394" t="s">
        <v>171</v>
      </c>
      <c r="H14" s="1395"/>
      <c r="I14" s="1395"/>
      <c r="J14" s="1394" t="s">
        <v>170</v>
      </c>
      <c r="K14" s="1394" t="s">
        <v>171</v>
      </c>
      <c r="L14" s="1395"/>
      <c r="M14" s="1395"/>
      <c r="N14" s="1394"/>
      <c r="O14" s="1394"/>
      <c r="P14" s="1394"/>
      <c r="Q14" s="1394"/>
    </row>
    <row r="15" spans="1:17" ht="33.75" customHeight="1">
      <c r="A15" s="1395"/>
      <c r="B15" s="1398"/>
      <c r="C15" s="1396"/>
      <c r="D15" s="1394"/>
      <c r="E15" s="1395"/>
      <c r="F15" s="1395"/>
      <c r="G15" s="797" t="s">
        <v>413</v>
      </c>
      <c r="H15" s="797" t="s">
        <v>662</v>
      </c>
      <c r="I15" s="797" t="s">
        <v>414</v>
      </c>
      <c r="J15" s="1395"/>
      <c r="K15" s="797" t="s">
        <v>413</v>
      </c>
      <c r="L15" s="797" t="s">
        <v>662</v>
      </c>
      <c r="M15" s="797" t="s">
        <v>414</v>
      </c>
      <c r="N15" s="1394"/>
      <c r="O15" s="1394"/>
      <c r="P15" s="1394"/>
      <c r="Q15" s="1394"/>
    </row>
    <row r="16" spans="1:17" ht="15" customHeight="1">
      <c r="A16" s="800">
        <v>1</v>
      </c>
      <c r="B16" s="799">
        <v>2</v>
      </c>
      <c r="C16" s="797">
        <v>3</v>
      </c>
      <c r="D16" s="797">
        <v>4</v>
      </c>
      <c r="E16" s="800">
        <v>5</v>
      </c>
      <c r="F16" s="798">
        <v>6</v>
      </c>
      <c r="G16" s="798">
        <v>7</v>
      </c>
      <c r="H16" s="798">
        <v>8</v>
      </c>
      <c r="I16" s="798">
        <v>9</v>
      </c>
      <c r="J16" s="798">
        <v>10</v>
      </c>
      <c r="K16" s="798">
        <v>11</v>
      </c>
      <c r="L16" s="798">
        <v>12</v>
      </c>
      <c r="M16" s="798">
        <v>13</v>
      </c>
      <c r="N16" s="798">
        <v>14</v>
      </c>
      <c r="O16" s="798">
        <v>15</v>
      </c>
      <c r="P16" s="798">
        <v>16</v>
      </c>
      <c r="Q16" s="798">
        <v>17</v>
      </c>
    </row>
    <row r="17" spans="1:17" ht="12.75" customHeight="1">
      <c r="A17" s="1392" t="s">
        <v>754</v>
      </c>
      <c r="B17" s="1389"/>
      <c r="C17" s="1389"/>
      <c r="D17" s="1389"/>
      <c r="E17" s="1389"/>
      <c r="F17" s="1389"/>
      <c r="G17" s="1389"/>
      <c r="H17" s="1389"/>
      <c r="I17" s="1389"/>
      <c r="J17" s="1389"/>
      <c r="K17" s="1389"/>
      <c r="L17" s="1389"/>
      <c r="M17" s="1389"/>
      <c r="N17" s="1389"/>
      <c r="O17" s="1389"/>
      <c r="P17" s="1389"/>
      <c r="Q17" s="1389"/>
    </row>
    <row r="18" spans="1:17" ht="35.25" customHeight="1">
      <c r="A18" s="800">
        <v>1</v>
      </c>
      <c r="B18" s="802" t="s">
        <v>885</v>
      </c>
      <c r="C18" s="803" t="s">
        <v>893</v>
      </c>
      <c r="D18" s="804" t="s">
        <v>415</v>
      </c>
      <c r="E18" s="805">
        <v>0.01</v>
      </c>
      <c r="F18" s="806">
        <v>55.03</v>
      </c>
      <c r="G18" s="806">
        <v>47.48</v>
      </c>
      <c r="H18" s="806"/>
      <c r="I18" s="806"/>
      <c r="J18" s="806">
        <v>0.55000000000000004</v>
      </c>
      <c r="K18" s="806">
        <v>0.47</v>
      </c>
      <c r="L18" s="806"/>
      <c r="M18" s="806"/>
      <c r="N18" s="806">
        <v>5.98</v>
      </c>
      <c r="O18" s="806">
        <v>0.06</v>
      </c>
      <c r="P18" s="806"/>
      <c r="Q18" s="806"/>
    </row>
    <row r="19" spans="1:17" ht="56.25" customHeight="1">
      <c r="A19" s="800">
        <v>2</v>
      </c>
      <c r="B19" s="802" t="s">
        <v>869</v>
      </c>
      <c r="C19" s="803" t="s">
        <v>894</v>
      </c>
      <c r="D19" s="804" t="s">
        <v>416</v>
      </c>
      <c r="E19" s="805">
        <v>0.01</v>
      </c>
      <c r="F19" s="806">
        <v>567.99</v>
      </c>
      <c r="G19" s="806">
        <v>145.76</v>
      </c>
      <c r="H19" s="806">
        <v>1.04</v>
      </c>
      <c r="I19" s="806"/>
      <c r="J19" s="806">
        <v>5.68</v>
      </c>
      <c r="K19" s="806">
        <v>1.46</v>
      </c>
      <c r="L19" s="806">
        <v>0.01</v>
      </c>
      <c r="M19" s="806"/>
      <c r="N19" s="806">
        <v>16.87</v>
      </c>
      <c r="O19" s="806">
        <v>0.17</v>
      </c>
      <c r="P19" s="806"/>
      <c r="Q19" s="806"/>
    </row>
    <row r="20" spans="1:17" ht="15" customHeight="1">
      <c r="A20" s="1390" t="s">
        <v>749</v>
      </c>
      <c r="B20" s="1391"/>
      <c r="C20" s="1391"/>
      <c r="D20" s="1391"/>
      <c r="E20" s="1391"/>
      <c r="F20" s="1391"/>
      <c r="G20" s="1391"/>
      <c r="H20" s="1391"/>
      <c r="I20" s="1391"/>
      <c r="J20" s="1391"/>
      <c r="K20" s="1391"/>
      <c r="L20" s="1391"/>
      <c r="M20" s="1391"/>
      <c r="N20" s="1391"/>
      <c r="O20" s="1391"/>
      <c r="P20" s="1391"/>
      <c r="Q20" s="1391"/>
    </row>
    <row r="21" spans="1:17" ht="15" customHeight="1">
      <c r="A21" s="1388" t="s">
        <v>417</v>
      </c>
      <c r="B21" s="1389"/>
      <c r="C21" s="1389"/>
      <c r="D21" s="1389"/>
      <c r="E21" s="1389"/>
      <c r="F21" s="1389"/>
      <c r="G21" s="1389"/>
      <c r="H21" s="1389"/>
      <c r="I21" s="1389"/>
      <c r="J21" s="807">
        <v>6.23</v>
      </c>
      <c r="K21" s="807">
        <v>1.93</v>
      </c>
      <c r="L21" s="807">
        <v>0.01</v>
      </c>
      <c r="M21" s="806"/>
      <c r="N21" s="806"/>
      <c r="O21" s="807">
        <v>0.23</v>
      </c>
      <c r="P21" s="806"/>
      <c r="Q21" s="806"/>
    </row>
    <row r="22" spans="1:17" ht="15" customHeight="1">
      <c r="A22" s="1388" t="s">
        <v>418</v>
      </c>
      <c r="B22" s="1389"/>
      <c r="C22" s="1389"/>
      <c r="D22" s="1389"/>
      <c r="E22" s="1389"/>
      <c r="F22" s="1389"/>
      <c r="G22" s="1389"/>
      <c r="H22" s="1389"/>
      <c r="I22" s="1389"/>
      <c r="J22" s="807">
        <v>44</v>
      </c>
      <c r="K22" s="807">
        <v>25.88</v>
      </c>
      <c r="L22" s="807">
        <v>0.06</v>
      </c>
      <c r="M22" s="806"/>
      <c r="N22" s="806"/>
      <c r="O22" s="807">
        <v>0.23</v>
      </c>
      <c r="P22" s="806"/>
      <c r="Q22" s="806"/>
    </row>
    <row r="23" spans="1:17" ht="15" customHeight="1">
      <c r="A23" s="1388" t="s">
        <v>683</v>
      </c>
      <c r="B23" s="1389"/>
      <c r="C23" s="1389"/>
      <c r="D23" s="1389"/>
      <c r="E23" s="1389"/>
      <c r="F23" s="1389"/>
      <c r="G23" s="1389"/>
      <c r="H23" s="1389"/>
      <c r="I23" s="1389"/>
      <c r="J23" s="806"/>
      <c r="K23" s="806"/>
      <c r="L23" s="806"/>
      <c r="M23" s="806"/>
      <c r="N23" s="806"/>
      <c r="O23" s="806"/>
      <c r="P23" s="806"/>
      <c r="Q23" s="806"/>
    </row>
    <row r="24" spans="1:17">
      <c r="A24" s="1388" t="s">
        <v>887</v>
      </c>
      <c r="B24" s="1389"/>
      <c r="C24" s="1389"/>
      <c r="D24" s="1389"/>
      <c r="E24" s="1389"/>
      <c r="F24" s="1389"/>
      <c r="G24" s="1389"/>
      <c r="H24" s="1389"/>
      <c r="I24" s="1389"/>
      <c r="J24" s="807">
        <v>37.770000000000003</v>
      </c>
      <c r="K24" s="807">
        <v>23.95</v>
      </c>
      <c r="L24" s="807">
        <v>0.05</v>
      </c>
      <c r="M24" s="806"/>
      <c r="N24" s="806"/>
      <c r="O24" s="806"/>
      <c r="P24" s="806"/>
      <c r="Q24" s="806"/>
    </row>
    <row r="25" spans="1:17" ht="15" customHeight="1">
      <c r="A25" s="1388" t="s">
        <v>172</v>
      </c>
      <c r="B25" s="1389"/>
      <c r="C25" s="1389"/>
      <c r="D25" s="1389"/>
      <c r="E25" s="1389"/>
      <c r="F25" s="1389"/>
      <c r="G25" s="1389"/>
      <c r="H25" s="1389"/>
      <c r="I25" s="1389"/>
      <c r="J25" s="807">
        <v>17.600000000000001</v>
      </c>
      <c r="K25" s="806"/>
      <c r="L25" s="806"/>
      <c r="M25" s="806"/>
      <c r="N25" s="806"/>
      <c r="O25" s="806"/>
      <c r="P25" s="806"/>
      <c r="Q25" s="806"/>
    </row>
    <row r="26" spans="1:17" ht="15" customHeight="1">
      <c r="A26" s="1388" t="s">
        <v>683</v>
      </c>
      <c r="B26" s="1389"/>
      <c r="C26" s="1389"/>
      <c r="D26" s="1389"/>
      <c r="E26" s="1389"/>
      <c r="F26" s="1389"/>
      <c r="G26" s="1389"/>
      <c r="H26" s="1389"/>
      <c r="I26" s="1389"/>
      <c r="J26" s="806"/>
      <c r="K26" s="806"/>
      <c r="L26" s="806"/>
      <c r="M26" s="806"/>
      <c r="N26" s="806"/>
      <c r="O26" s="806"/>
      <c r="P26" s="806"/>
      <c r="Q26" s="806"/>
    </row>
    <row r="27" spans="1:17">
      <c r="A27" s="1388" t="s">
        <v>895</v>
      </c>
      <c r="B27" s="1389"/>
      <c r="C27" s="1389"/>
      <c r="D27" s="1389"/>
      <c r="E27" s="1389"/>
      <c r="F27" s="1389"/>
      <c r="G27" s="1389"/>
      <c r="H27" s="1389"/>
      <c r="I27" s="1389"/>
      <c r="J27" s="807">
        <v>17.600000000000001</v>
      </c>
      <c r="K27" s="806"/>
      <c r="L27" s="806"/>
      <c r="M27" s="806"/>
      <c r="N27" s="806"/>
      <c r="O27" s="806"/>
      <c r="P27" s="806"/>
      <c r="Q27" s="806"/>
    </row>
    <row r="28" spans="1:17" ht="15" customHeight="1">
      <c r="A28" s="1388" t="s">
        <v>173</v>
      </c>
      <c r="B28" s="1389"/>
      <c r="C28" s="1389"/>
      <c r="D28" s="1389"/>
      <c r="E28" s="1389"/>
      <c r="F28" s="1389"/>
      <c r="G28" s="1389"/>
      <c r="H28" s="1389"/>
      <c r="I28" s="1389"/>
      <c r="J28" s="807">
        <v>10.35</v>
      </c>
      <c r="K28" s="806"/>
      <c r="L28" s="806"/>
      <c r="M28" s="806"/>
      <c r="N28" s="806"/>
      <c r="O28" s="806"/>
      <c r="P28" s="806"/>
      <c r="Q28" s="806"/>
    </row>
    <row r="29" spans="1:17">
      <c r="A29" s="1388" t="s">
        <v>683</v>
      </c>
      <c r="B29" s="1389"/>
      <c r="C29" s="1389"/>
      <c r="D29" s="1389"/>
      <c r="E29" s="1389"/>
      <c r="F29" s="1389"/>
      <c r="G29" s="1389"/>
      <c r="H29" s="1389"/>
      <c r="I29" s="1389"/>
      <c r="J29" s="806"/>
      <c r="K29" s="806"/>
      <c r="L29" s="806"/>
      <c r="M29" s="806"/>
      <c r="N29" s="806"/>
      <c r="O29" s="806"/>
      <c r="P29" s="806"/>
      <c r="Q29" s="806"/>
    </row>
    <row r="30" spans="1:17">
      <c r="A30" s="1388" t="s">
        <v>896</v>
      </c>
      <c r="B30" s="1389"/>
      <c r="C30" s="1389"/>
      <c r="D30" s="1389"/>
      <c r="E30" s="1389"/>
      <c r="F30" s="1389"/>
      <c r="G30" s="1389"/>
      <c r="H30" s="1389"/>
      <c r="I30" s="1389"/>
      <c r="J30" s="807">
        <v>10.35</v>
      </c>
      <c r="K30" s="806"/>
      <c r="L30" s="806"/>
      <c r="M30" s="806"/>
      <c r="N30" s="806"/>
      <c r="O30" s="806"/>
      <c r="P30" s="806"/>
      <c r="Q30" s="806"/>
    </row>
    <row r="31" spans="1:17" ht="15" customHeight="1">
      <c r="A31" s="1393" t="s">
        <v>419</v>
      </c>
      <c r="B31" s="1389"/>
      <c r="C31" s="1389"/>
      <c r="D31" s="1389"/>
      <c r="E31" s="1389"/>
      <c r="F31" s="1389"/>
      <c r="G31" s="1389"/>
      <c r="H31" s="1389"/>
      <c r="I31" s="1389"/>
      <c r="J31" s="806"/>
      <c r="K31" s="806"/>
      <c r="L31" s="806"/>
      <c r="M31" s="806"/>
      <c r="N31" s="806"/>
      <c r="O31" s="806"/>
      <c r="P31" s="806"/>
      <c r="Q31" s="806"/>
    </row>
    <row r="32" spans="1:17">
      <c r="A32" s="1388" t="s">
        <v>873</v>
      </c>
      <c r="B32" s="1389"/>
      <c r="C32" s="1389"/>
      <c r="D32" s="1389"/>
      <c r="E32" s="1389"/>
      <c r="F32" s="1389"/>
      <c r="G32" s="1389"/>
      <c r="H32" s="1389"/>
      <c r="I32" s="1389"/>
      <c r="J32" s="807">
        <v>71.95</v>
      </c>
      <c r="K32" s="806"/>
      <c r="L32" s="806"/>
      <c r="M32" s="806"/>
      <c r="N32" s="806"/>
      <c r="O32" s="807">
        <v>0.23</v>
      </c>
      <c r="P32" s="806"/>
      <c r="Q32" s="806"/>
    </row>
    <row r="33" spans="1:17">
      <c r="A33" s="1388" t="s">
        <v>559</v>
      </c>
      <c r="B33" s="1389"/>
      <c r="C33" s="1389"/>
      <c r="D33" s="1389"/>
      <c r="E33" s="1389"/>
      <c r="F33" s="1389"/>
      <c r="G33" s="1389"/>
      <c r="H33" s="1389"/>
      <c r="I33" s="1389"/>
      <c r="J33" s="807">
        <v>71.95</v>
      </c>
      <c r="K33" s="806"/>
      <c r="L33" s="806"/>
      <c r="M33" s="806"/>
      <c r="N33" s="806"/>
      <c r="O33" s="807">
        <v>0.23</v>
      </c>
      <c r="P33" s="806"/>
      <c r="Q33" s="806"/>
    </row>
    <row r="34" spans="1:17">
      <c r="A34" s="1388" t="s">
        <v>420</v>
      </c>
      <c r="B34" s="1389"/>
      <c r="C34" s="1389"/>
      <c r="D34" s="1389"/>
      <c r="E34" s="1389"/>
      <c r="F34" s="1389"/>
      <c r="G34" s="1389"/>
      <c r="H34" s="1389"/>
      <c r="I34" s="1389"/>
      <c r="J34" s="806"/>
      <c r="K34" s="806"/>
      <c r="L34" s="806"/>
      <c r="M34" s="806"/>
      <c r="N34" s="806"/>
      <c r="O34" s="806"/>
      <c r="P34" s="806"/>
      <c r="Q34" s="806"/>
    </row>
    <row r="35" spans="1:17">
      <c r="A35" s="1388" t="s">
        <v>421</v>
      </c>
      <c r="B35" s="1389"/>
      <c r="C35" s="1389"/>
      <c r="D35" s="1389"/>
      <c r="E35" s="1389"/>
      <c r="F35" s="1389"/>
      <c r="G35" s="1389"/>
      <c r="H35" s="1389"/>
      <c r="I35" s="1389"/>
      <c r="J35" s="807">
        <v>18.059999999999999</v>
      </c>
      <c r="K35" s="806"/>
      <c r="L35" s="806"/>
      <c r="M35" s="806"/>
      <c r="N35" s="806"/>
      <c r="O35" s="806"/>
      <c r="P35" s="806"/>
      <c r="Q35" s="806"/>
    </row>
    <row r="36" spans="1:17">
      <c r="A36" s="1388" t="s">
        <v>422</v>
      </c>
      <c r="B36" s="1389"/>
      <c r="C36" s="1389"/>
      <c r="D36" s="1389"/>
      <c r="E36" s="1389"/>
      <c r="F36" s="1389"/>
      <c r="G36" s="1389"/>
      <c r="H36" s="1389"/>
      <c r="I36" s="1389"/>
      <c r="J36" s="807">
        <v>0.06</v>
      </c>
      <c r="K36" s="806"/>
      <c r="L36" s="806"/>
      <c r="M36" s="806"/>
      <c r="N36" s="806"/>
      <c r="O36" s="806"/>
      <c r="P36" s="806"/>
      <c r="Q36" s="806"/>
    </row>
    <row r="37" spans="1:17">
      <c r="A37" s="1388" t="s">
        <v>423</v>
      </c>
      <c r="B37" s="1389"/>
      <c r="C37" s="1389"/>
      <c r="D37" s="1389"/>
      <c r="E37" s="1389"/>
      <c r="F37" s="1389"/>
      <c r="G37" s="1389"/>
      <c r="H37" s="1389"/>
      <c r="I37" s="1389"/>
      <c r="J37" s="807">
        <v>25.88</v>
      </c>
      <c r="K37" s="806"/>
      <c r="L37" s="806"/>
      <c r="M37" s="806"/>
      <c r="N37" s="806"/>
      <c r="O37" s="806"/>
      <c r="P37" s="806"/>
      <c r="Q37" s="806"/>
    </row>
    <row r="38" spans="1:17">
      <c r="A38" s="1388" t="s">
        <v>424</v>
      </c>
      <c r="B38" s="1389"/>
      <c r="C38" s="1389"/>
      <c r="D38" s="1389"/>
      <c r="E38" s="1389"/>
      <c r="F38" s="1389"/>
      <c r="G38" s="1389"/>
      <c r="H38" s="1389"/>
      <c r="I38" s="1389"/>
      <c r="J38" s="807">
        <v>17.600000000000001</v>
      </c>
      <c r="K38" s="806"/>
      <c r="L38" s="806"/>
      <c r="M38" s="806"/>
      <c r="N38" s="806"/>
      <c r="O38" s="806"/>
      <c r="P38" s="806"/>
      <c r="Q38" s="806"/>
    </row>
    <row r="39" spans="1:17">
      <c r="A39" s="1388" t="s">
        <v>425</v>
      </c>
      <c r="B39" s="1389"/>
      <c r="C39" s="1389"/>
      <c r="D39" s="1389"/>
      <c r="E39" s="1389"/>
      <c r="F39" s="1389"/>
      <c r="G39" s="1389"/>
      <c r="H39" s="1389"/>
      <c r="I39" s="1389"/>
      <c r="J39" s="807">
        <v>10.35</v>
      </c>
      <c r="K39" s="806"/>
      <c r="L39" s="806"/>
      <c r="M39" s="806"/>
      <c r="N39" s="806"/>
      <c r="O39" s="806"/>
      <c r="P39" s="806"/>
      <c r="Q39" s="806"/>
    </row>
    <row r="40" spans="1:17">
      <c r="A40" s="1388" t="s">
        <v>426</v>
      </c>
      <c r="B40" s="1389"/>
      <c r="C40" s="1389"/>
      <c r="D40" s="1389"/>
      <c r="E40" s="1389"/>
      <c r="F40" s="1389"/>
      <c r="G40" s="1389"/>
      <c r="H40" s="1389"/>
      <c r="I40" s="1389"/>
      <c r="J40" s="807">
        <v>12.95</v>
      </c>
      <c r="K40" s="806"/>
      <c r="L40" s="806"/>
      <c r="M40" s="806"/>
      <c r="N40" s="806"/>
      <c r="O40" s="806"/>
      <c r="P40" s="806"/>
      <c r="Q40" s="806"/>
    </row>
    <row r="41" spans="1:17">
      <c r="A41" s="1393" t="s">
        <v>427</v>
      </c>
      <c r="B41" s="1389"/>
      <c r="C41" s="1389"/>
      <c r="D41" s="1389"/>
      <c r="E41" s="1389"/>
      <c r="F41" s="1389"/>
      <c r="G41" s="1389"/>
      <c r="H41" s="1389"/>
      <c r="I41" s="1389"/>
      <c r="J41" s="808">
        <v>83.07</v>
      </c>
      <c r="K41" s="806"/>
      <c r="L41" s="806"/>
      <c r="M41" s="806"/>
      <c r="N41" s="806"/>
      <c r="O41" s="808">
        <v>0.23</v>
      </c>
      <c r="P41" s="806"/>
      <c r="Q41" s="806"/>
    </row>
  </sheetData>
  <mergeCells count="41">
    <mergeCell ref="A13:A15"/>
    <mergeCell ref="C13:C15"/>
    <mergeCell ref="D13:D15"/>
    <mergeCell ref="E13:E15"/>
    <mergeCell ref="B13:B15"/>
    <mergeCell ref="F14:F15"/>
    <mergeCell ref="F13:I13"/>
    <mergeCell ref="G14:I14"/>
    <mergeCell ref="O13:O15"/>
    <mergeCell ref="N13:N15"/>
    <mergeCell ref="Q13:Q15"/>
    <mergeCell ref="J14:J15"/>
    <mergeCell ref="K14:M14"/>
    <mergeCell ref="J13:M13"/>
    <mergeCell ref="P13:P15"/>
    <mergeCell ref="A38:I38"/>
    <mergeCell ref="A39:I39"/>
    <mergeCell ref="A40:I40"/>
    <mergeCell ref="A41:I41"/>
    <mergeCell ref="A30:I30"/>
    <mergeCell ref="A31:I31"/>
    <mergeCell ref="A32:I32"/>
    <mergeCell ref="A33:I33"/>
    <mergeCell ref="A34:I34"/>
    <mergeCell ref="A35:I35"/>
    <mergeCell ref="J9:K9"/>
    <mergeCell ref="J7:K7"/>
    <mergeCell ref="J8:K8"/>
    <mergeCell ref="A36:I36"/>
    <mergeCell ref="A37:I37"/>
    <mergeCell ref="A24:I24"/>
    <mergeCell ref="A25:I25"/>
    <mergeCell ref="A26:I26"/>
    <mergeCell ref="A27:I27"/>
    <mergeCell ref="A28:I28"/>
    <mergeCell ref="A29:I29"/>
    <mergeCell ref="A20:Q20"/>
    <mergeCell ref="A21:I21"/>
    <mergeCell ref="A22:I22"/>
    <mergeCell ref="A23:I23"/>
    <mergeCell ref="A17:Q17"/>
  </mergeCells>
  <pageMargins left="0" right="0" top="0" bottom="0" header="0.31496062992125984" footer="0.31496062992125984"/>
  <pageSetup paperSize="9" scale="85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FF0000"/>
  </sheetPr>
  <dimension ref="A1:Q80"/>
  <sheetViews>
    <sheetView topLeftCell="A19" workbookViewId="0">
      <selection activeCell="A2" sqref="A2:Q25"/>
    </sheetView>
  </sheetViews>
  <sheetFormatPr defaultRowHeight="15"/>
  <cols>
    <col min="3" max="3" width="33" customWidth="1"/>
    <col min="5" max="6" width="7.42578125" customWidth="1"/>
    <col min="7" max="7" width="7" customWidth="1"/>
    <col min="8" max="8" width="7.5703125" customWidth="1"/>
    <col min="9" max="9" width="6.85546875" customWidth="1"/>
    <col min="10" max="10" width="7.7109375" customWidth="1"/>
    <col min="11" max="11" width="7.42578125" customWidth="1"/>
  </cols>
  <sheetData>
    <row r="1" spans="1:17">
      <c r="A1" s="441"/>
      <c r="B1" s="442"/>
      <c r="C1" s="443"/>
      <c r="D1" s="444"/>
      <c r="E1" s="445"/>
      <c r="F1" s="446"/>
      <c r="G1" s="446"/>
      <c r="H1" s="446"/>
      <c r="I1" s="446"/>
      <c r="J1" s="446"/>
      <c r="K1" s="446"/>
      <c r="L1" s="446"/>
      <c r="M1" s="446"/>
      <c r="N1" s="446"/>
      <c r="O1" s="446"/>
      <c r="P1" s="446"/>
      <c r="Q1" s="446"/>
    </row>
    <row r="2" spans="1:17">
      <c r="A2" s="441"/>
      <c r="B2" s="442"/>
      <c r="C2" s="443"/>
      <c r="D2" s="444"/>
      <c r="E2" s="445"/>
      <c r="F2" s="446"/>
      <c r="G2" s="446"/>
      <c r="H2" s="447" t="s">
        <v>650</v>
      </c>
      <c r="I2" s="447"/>
      <c r="J2" s="446"/>
      <c r="K2" s="446"/>
      <c r="L2" s="446"/>
      <c r="M2" s="446"/>
      <c r="N2" s="446"/>
      <c r="O2" s="446"/>
      <c r="P2" s="446"/>
      <c r="Q2" s="446"/>
    </row>
    <row r="3" spans="1:17">
      <c r="A3" s="441"/>
      <c r="B3" s="442"/>
      <c r="C3" s="443"/>
      <c r="D3" s="444"/>
      <c r="E3" s="445"/>
      <c r="F3" s="446"/>
      <c r="G3" s="446"/>
      <c r="H3" s="441" t="s">
        <v>651</v>
      </c>
      <c r="I3" s="441"/>
      <c r="J3" s="446"/>
      <c r="K3" s="446"/>
      <c r="L3" s="446"/>
      <c r="M3" s="446"/>
      <c r="N3" s="446"/>
      <c r="O3" s="446"/>
      <c r="P3" s="446"/>
      <c r="Q3" s="446"/>
    </row>
    <row r="4" spans="1:17" ht="6.75" customHeight="1">
      <c r="A4" s="441"/>
      <c r="B4" s="442"/>
      <c r="C4" s="443"/>
      <c r="D4" s="444"/>
      <c r="E4" s="445"/>
      <c r="F4" s="446"/>
      <c r="G4" s="446"/>
      <c r="H4" s="446"/>
      <c r="I4" s="446"/>
      <c r="J4" s="446"/>
      <c r="K4" s="446"/>
      <c r="L4" s="446"/>
      <c r="M4" s="446"/>
      <c r="N4" s="446"/>
      <c r="O4" s="446"/>
      <c r="P4" s="446"/>
      <c r="Q4" s="446"/>
    </row>
    <row r="5" spans="1:17">
      <c r="A5" s="441"/>
      <c r="B5" s="442"/>
      <c r="C5" s="448" t="s">
        <v>652</v>
      </c>
      <c r="D5" s="449" t="s">
        <v>774</v>
      </c>
      <c r="E5" s="450"/>
      <c r="F5" s="446"/>
      <c r="G5" s="446"/>
      <c r="H5" s="441"/>
      <c r="I5" s="446"/>
      <c r="J5" s="446"/>
      <c r="K5" s="451"/>
      <c r="L5" s="451"/>
      <c r="M5" s="446"/>
      <c r="N5" s="446"/>
      <c r="O5" s="446"/>
      <c r="P5" s="446"/>
      <c r="Q5" s="446"/>
    </row>
    <row r="6" spans="1:17">
      <c r="A6" s="441"/>
      <c r="B6" s="442"/>
      <c r="C6" s="443"/>
      <c r="D6" s="444"/>
      <c r="E6" s="452"/>
      <c r="F6" s="453"/>
      <c r="G6" s="453"/>
      <c r="H6" s="454" t="s">
        <v>407</v>
      </c>
      <c r="I6" s="454"/>
      <c r="J6" s="453"/>
      <c r="K6" s="455"/>
      <c r="L6" s="446"/>
      <c r="M6" s="446"/>
      <c r="N6" s="446"/>
      <c r="O6" s="446"/>
      <c r="P6" s="446"/>
      <c r="Q6" s="446"/>
    </row>
    <row r="7" spans="1:17" ht="7.5" customHeight="1">
      <c r="A7" s="456"/>
      <c r="B7" s="457"/>
      <c r="C7" s="443"/>
      <c r="D7" s="444"/>
      <c r="E7" s="445"/>
      <c r="F7" s="446"/>
      <c r="G7" s="446"/>
      <c r="H7" s="446"/>
      <c r="I7" s="446"/>
      <c r="J7" s="446"/>
      <c r="K7" s="446"/>
      <c r="L7" s="446"/>
      <c r="M7" s="446"/>
      <c r="N7" s="446"/>
      <c r="O7" s="446"/>
      <c r="P7" s="446"/>
      <c r="Q7" s="446"/>
    </row>
    <row r="8" spans="1:17">
      <c r="A8" s="441"/>
      <c r="B8" s="442"/>
      <c r="C8" s="443"/>
      <c r="D8" s="450" t="s">
        <v>556</v>
      </c>
      <c r="E8" s="441"/>
      <c r="F8" s="446"/>
      <c r="G8" s="446"/>
      <c r="H8" s="446"/>
      <c r="I8" s="450"/>
      <c r="J8" s="1412" t="s">
        <v>769</v>
      </c>
      <c r="K8" s="1412"/>
      <c r="L8" s="458" t="s">
        <v>88</v>
      </c>
      <c r="M8" s="446"/>
      <c r="N8" s="446"/>
      <c r="O8" s="446"/>
      <c r="P8" s="446"/>
      <c r="Q8" s="446"/>
    </row>
    <row r="9" spans="1:17">
      <c r="A9" s="441"/>
      <c r="B9" s="442"/>
      <c r="C9" s="443"/>
      <c r="D9" s="459" t="s">
        <v>775</v>
      </c>
      <c r="E9" s="441"/>
      <c r="F9" s="446"/>
      <c r="G9" s="446"/>
      <c r="H9" s="446"/>
      <c r="I9" s="446"/>
      <c r="J9" s="446"/>
      <c r="K9" s="446"/>
      <c r="L9" s="446"/>
      <c r="M9" s="446"/>
      <c r="N9" s="446"/>
      <c r="O9" s="446"/>
      <c r="P9" s="446"/>
      <c r="Q9" s="446"/>
    </row>
    <row r="10" spans="1:17">
      <c r="A10" s="1402" t="s">
        <v>408</v>
      </c>
      <c r="B10" s="1410" t="s">
        <v>94</v>
      </c>
      <c r="C10" s="1402" t="s">
        <v>409</v>
      </c>
      <c r="D10" s="1402" t="s">
        <v>181</v>
      </c>
      <c r="E10" s="1402" t="s">
        <v>410</v>
      </c>
      <c r="F10" s="1402" t="s">
        <v>411</v>
      </c>
      <c r="G10" s="1403"/>
      <c r="H10" s="1403"/>
      <c r="I10" s="1403"/>
      <c r="J10" s="1402" t="s">
        <v>412</v>
      </c>
      <c r="K10" s="1403"/>
      <c r="L10" s="1403"/>
      <c r="M10" s="1403"/>
      <c r="N10" s="1402" t="s">
        <v>658</v>
      </c>
      <c r="O10" s="1402" t="s">
        <v>659</v>
      </c>
      <c r="P10" s="1402" t="s">
        <v>660</v>
      </c>
      <c r="Q10" s="1402" t="s">
        <v>661</v>
      </c>
    </row>
    <row r="11" spans="1:17">
      <c r="A11" s="1403"/>
      <c r="B11" s="1411"/>
      <c r="C11" s="1413"/>
      <c r="D11" s="1402"/>
      <c r="E11" s="1403"/>
      <c r="F11" s="1402" t="s">
        <v>170</v>
      </c>
      <c r="G11" s="1402" t="s">
        <v>171</v>
      </c>
      <c r="H11" s="1403"/>
      <c r="I11" s="1403"/>
      <c r="J11" s="1402" t="s">
        <v>170</v>
      </c>
      <c r="K11" s="1402" t="s">
        <v>171</v>
      </c>
      <c r="L11" s="1403"/>
      <c r="M11" s="1403"/>
      <c r="N11" s="1402"/>
      <c r="O11" s="1402"/>
      <c r="P11" s="1402"/>
      <c r="Q11" s="1402"/>
    </row>
    <row r="12" spans="1:17">
      <c r="A12" s="1403"/>
      <c r="B12" s="1411"/>
      <c r="C12" s="1413"/>
      <c r="D12" s="1402"/>
      <c r="E12" s="1403"/>
      <c r="F12" s="1403"/>
      <c r="G12" s="460" t="s">
        <v>413</v>
      </c>
      <c r="H12" s="460" t="s">
        <v>662</v>
      </c>
      <c r="I12" s="460" t="s">
        <v>414</v>
      </c>
      <c r="J12" s="1403"/>
      <c r="K12" s="460" t="s">
        <v>413</v>
      </c>
      <c r="L12" s="460" t="s">
        <v>662</v>
      </c>
      <c r="M12" s="460" t="s">
        <v>414</v>
      </c>
      <c r="N12" s="1402"/>
      <c r="O12" s="1402"/>
      <c r="P12" s="1402"/>
      <c r="Q12" s="1402"/>
    </row>
    <row r="13" spans="1:17">
      <c r="A13" s="461">
        <v>1</v>
      </c>
      <c r="B13" s="462">
        <v>2</v>
      </c>
      <c r="C13" s="460">
        <v>3</v>
      </c>
      <c r="D13" s="460">
        <v>4</v>
      </c>
      <c r="E13" s="461">
        <v>5</v>
      </c>
      <c r="F13" s="463">
        <v>6</v>
      </c>
      <c r="G13" s="463">
        <v>7</v>
      </c>
      <c r="H13" s="463">
        <v>8</v>
      </c>
      <c r="I13" s="463">
        <v>9</v>
      </c>
      <c r="J13" s="463">
        <v>10</v>
      </c>
      <c r="K13" s="463">
        <v>11</v>
      </c>
      <c r="L13" s="463">
        <v>12</v>
      </c>
      <c r="M13" s="463">
        <v>13</v>
      </c>
      <c r="N13" s="463">
        <v>14</v>
      </c>
      <c r="O13" s="463">
        <v>15</v>
      </c>
      <c r="P13" s="463">
        <v>16</v>
      </c>
      <c r="Q13" s="463">
        <v>17</v>
      </c>
    </row>
    <row r="14" spans="1:17" ht="12" customHeight="1">
      <c r="A14" s="1406" t="s">
        <v>754</v>
      </c>
      <c r="B14" s="1405"/>
      <c r="C14" s="1405"/>
      <c r="D14" s="1405"/>
      <c r="E14" s="1405"/>
      <c r="F14" s="1405"/>
      <c r="G14" s="1405"/>
      <c r="H14" s="1405"/>
      <c r="I14" s="1405"/>
      <c r="J14" s="1405"/>
      <c r="K14" s="1405"/>
      <c r="L14" s="1405"/>
      <c r="M14" s="1405"/>
      <c r="N14" s="1405"/>
      <c r="O14" s="1405"/>
      <c r="P14" s="1405"/>
      <c r="Q14" s="1405"/>
    </row>
    <row r="15" spans="1:17" ht="39.75" customHeight="1">
      <c r="A15" s="461">
        <v>1</v>
      </c>
      <c r="B15" s="464" t="s">
        <v>752</v>
      </c>
      <c r="C15" s="465" t="s">
        <v>778</v>
      </c>
      <c r="D15" s="466" t="s">
        <v>415</v>
      </c>
      <c r="E15" s="467">
        <v>36.85</v>
      </c>
      <c r="F15" s="468">
        <v>55.03</v>
      </c>
      <c r="G15" s="468">
        <v>47.48</v>
      </c>
      <c r="H15" s="468"/>
      <c r="I15" s="468"/>
      <c r="J15" s="468">
        <v>2027.86</v>
      </c>
      <c r="K15" s="468">
        <v>1749.64</v>
      </c>
      <c r="L15" s="468"/>
      <c r="M15" s="468"/>
      <c r="N15" s="468">
        <v>5.98</v>
      </c>
      <c r="O15" s="468">
        <v>220.36</v>
      </c>
      <c r="P15" s="468"/>
      <c r="Q15" s="468"/>
    </row>
    <row r="16" spans="1:17">
      <c r="A16" s="1407" t="s">
        <v>748</v>
      </c>
      <c r="B16" s="1405"/>
      <c r="C16" s="1405"/>
      <c r="D16" s="1405"/>
      <c r="E16" s="1405"/>
      <c r="F16" s="1405"/>
      <c r="G16" s="1405"/>
      <c r="H16" s="1405"/>
      <c r="I16" s="1405"/>
      <c r="J16" s="469">
        <v>44873.37</v>
      </c>
      <c r="K16" s="468"/>
      <c r="L16" s="468"/>
      <c r="M16" s="468"/>
      <c r="N16" s="468"/>
      <c r="O16" s="469">
        <v>220.36</v>
      </c>
      <c r="P16" s="468"/>
      <c r="Q16" s="468"/>
    </row>
    <row r="17" spans="1:17">
      <c r="A17" s="1408" t="s">
        <v>749</v>
      </c>
      <c r="B17" s="1409"/>
      <c r="C17" s="1409"/>
      <c r="D17" s="1409"/>
      <c r="E17" s="1409"/>
      <c r="F17" s="1409"/>
      <c r="G17" s="1409"/>
      <c r="H17" s="1409"/>
      <c r="I17" s="1409"/>
      <c r="J17" s="1409"/>
      <c r="K17" s="1409"/>
      <c r="L17" s="1409"/>
      <c r="M17" s="1409"/>
      <c r="N17" s="1409"/>
      <c r="O17" s="1409"/>
      <c r="P17" s="1409"/>
      <c r="Q17" s="1409"/>
    </row>
    <row r="18" spans="1:17">
      <c r="A18" s="1404" t="s">
        <v>417</v>
      </c>
      <c r="B18" s="1405"/>
      <c r="C18" s="1405"/>
      <c r="D18" s="1405"/>
      <c r="E18" s="1405"/>
      <c r="F18" s="1405"/>
      <c r="G18" s="1405"/>
      <c r="H18" s="1405"/>
      <c r="I18" s="1405"/>
      <c r="J18" s="470">
        <v>2027.86</v>
      </c>
      <c r="K18" s="470">
        <v>1749.64</v>
      </c>
      <c r="L18" s="468"/>
      <c r="M18" s="468"/>
      <c r="N18" s="468"/>
      <c r="O18" s="470">
        <v>220.36</v>
      </c>
      <c r="P18" s="468"/>
      <c r="Q18" s="468"/>
    </row>
    <row r="19" spans="1:17">
      <c r="A19" s="1404" t="s">
        <v>418</v>
      </c>
      <c r="B19" s="1405"/>
      <c r="C19" s="1405"/>
      <c r="D19" s="1405"/>
      <c r="E19" s="1405"/>
      <c r="F19" s="1405"/>
      <c r="G19" s="1405"/>
      <c r="H19" s="1405"/>
      <c r="I19" s="1405"/>
      <c r="J19" s="470">
        <v>22160.240000000002</v>
      </c>
      <c r="K19" s="470">
        <v>21030.67</v>
      </c>
      <c r="L19" s="468"/>
      <c r="M19" s="468"/>
      <c r="N19" s="468"/>
      <c r="O19" s="470">
        <v>220.36</v>
      </c>
      <c r="P19" s="468"/>
      <c r="Q19" s="468"/>
    </row>
    <row r="20" spans="1:17">
      <c r="A20" s="1404" t="s">
        <v>683</v>
      </c>
      <c r="B20" s="1405"/>
      <c r="C20" s="1405"/>
      <c r="D20" s="1405"/>
      <c r="E20" s="1405"/>
      <c r="F20" s="1405"/>
      <c r="G20" s="1405"/>
      <c r="H20" s="1405"/>
      <c r="I20" s="1405"/>
      <c r="J20" s="468"/>
      <c r="K20" s="468"/>
      <c r="L20" s="468"/>
      <c r="M20" s="468"/>
      <c r="N20" s="468"/>
      <c r="O20" s="468"/>
      <c r="P20" s="468"/>
      <c r="Q20" s="468"/>
    </row>
    <row r="21" spans="1:17">
      <c r="A21" s="1404" t="s">
        <v>773</v>
      </c>
      <c r="B21" s="1405"/>
      <c r="C21" s="1405"/>
      <c r="D21" s="1405"/>
      <c r="E21" s="1405"/>
      <c r="F21" s="1405"/>
      <c r="G21" s="1405"/>
      <c r="H21" s="1405"/>
      <c r="I21" s="1405"/>
      <c r="J21" s="470">
        <v>20132.38</v>
      </c>
      <c r="K21" s="470">
        <v>19281.03</v>
      </c>
      <c r="L21" s="468"/>
      <c r="M21" s="468"/>
      <c r="N21" s="468"/>
      <c r="O21" s="468"/>
      <c r="P21" s="468"/>
      <c r="Q21" s="468"/>
    </row>
    <row r="22" spans="1:17">
      <c r="A22" s="1404" t="s">
        <v>172</v>
      </c>
      <c r="B22" s="1405"/>
      <c r="C22" s="1405"/>
      <c r="D22" s="1405"/>
      <c r="E22" s="1405"/>
      <c r="F22" s="1405"/>
      <c r="G22" s="1405"/>
      <c r="H22" s="1405"/>
      <c r="I22" s="1405"/>
      <c r="J22" s="470">
        <v>14300.86</v>
      </c>
      <c r="K22" s="468"/>
      <c r="L22" s="468"/>
      <c r="M22" s="468"/>
      <c r="N22" s="468"/>
      <c r="O22" s="468"/>
      <c r="P22" s="468"/>
      <c r="Q22" s="468"/>
    </row>
    <row r="23" spans="1:17">
      <c r="A23" s="1404" t="s">
        <v>683</v>
      </c>
      <c r="B23" s="1405"/>
      <c r="C23" s="1405"/>
      <c r="D23" s="1405"/>
      <c r="E23" s="1405"/>
      <c r="F23" s="1405"/>
      <c r="G23" s="1405"/>
      <c r="H23" s="1405"/>
      <c r="I23" s="1405"/>
      <c r="J23" s="468"/>
      <c r="K23" s="468"/>
      <c r="L23" s="468"/>
      <c r="M23" s="468"/>
      <c r="N23" s="468"/>
      <c r="O23" s="468"/>
      <c r="P23" s="468"/>
      <c r="Q23" s="468"/>
    </row>
    <row r="24" spans="1:17">
      <c r="A24" s="1404" t="s">
        <v>770</v>
      </c>
      <c r="B24" s="1405"/>
      <c r="C24" s="1405"/>
      <c r="D24" s="1405"/>
      <c r="E24" s="1405"/>
      <c r="F24" s="1405"/>
      <c r="G24" s="1405"/>
      <c r="H24" s="1405"/>
      <c r="I24" s="1405"/>
      <c r="J24" s="470">
        <v>14300.86</v>
      </c>
      <c r="K24" s="468"/>
      <c r="L24" s="468"/>
      <c r="M24" s="468"/>
      <c r="N24" s="468"/>
      <c r="O24" s="468"/>
      <c r="P24" s="468"/>
      <c r="Q24" s="468"/>
    </row>
    <row r="25" spans="1:17">
      <c r="A25" s="1404" t="s">
        <v>173</v>
      </c>
      <c r="B25" s="1405"/>
      <c r="C25" s="1405"/>
      <c r="D25" s="1405"/>
      <c r="E25" s="1405"/>
      <c r="F25" s="1405"/>
      <c r="G25" s="1405"/>
      <c r="H25" s="1405"/>
      <c r="I25" s="1405"/>
      <c r="J25" s="470">
        <v>8412.27</v>
      </c>
      <c r="K25" s="468"/>
      <c r="L25" s="468"/>
      <c r="M25" s="468"/>
      <c r="N25" s="468"/>
      <c r="O25" s="468"/>
      <c r="P25" s="468"/>
      <c r="Q25" s="468"/>
    </row>
    <row r="26" spans="1:17">
      <c r="A26" s="1404" t="s">
        <v>683</v>
      </c>
      <c r="B26" s="1405"/>
      <c r="C26" s="1405"/>
      <c r="D26" s="1405"/>
      <c r="E26" s="1405"/>
      <c r="F26" s="1405"/>
      <c r="G26" s="1405"/>
      <c r="H26" s="1405"/>
      <c r="I26" s="1405"/>
      <c r="J26" s="468"/>
      <c r="K26" s="468"/>
      <c r="L26" s="468"/>
      <c r="M26" s="468"/>
      <c r="N26" s="468"/>
      <c r="O26" s="468"/>
      <c r="P26" s="468"/>
      <c r="Q26" s="468"/>
    </row>
    <row r="27" spans="1:17">
      <c r="A27" s="1404" t="s">
        <v>771</v>
      </c>
      <c r="B27" s="1405"/>
      <c r="C27" s="1405"/>
      <c r="D27" s="1405"/>
      <c r="E27" s="1405"/>
      <c r="F27" s="1405"/>
      <c r="G27" s="1405"/>
      <c r="H27" s="1405"/>
      <c r="I27" s="1405"/>
      <c r="J27" s="470">
        <v>8412.27</v>
      </c>
      <c r="K27" s="468"/>
      <c r="L27" s="468"/>
      <c r="M27" s="468"/>
      <c r="N27" s="468"/>
      <c r="O27" s="468"/>
      <c r="P27" s="468"/>
      <c r="Q27" s="468"/>
    </row>
    <row r="28" spans="1:17">
      <c r="A28" s="1407" t="s">
        <v>419</v>
      </c>
      <c r="B28" s="1405"/>
      <c r="C28" s="1405"/>
      <c r="D28" s="1405"/>
      <c r="E28" s="1405"/>
      <c r="F28" s="1405"/>
      <c r="G28" s="1405"/>
      <c r="H28" s="1405"/>
      <c r="I28" s="1405"/>
      <c r="J28" s="468"/>
      <c r="K28" s="468"/>
      <c r="L28" s="468"/>
      <c r="M28" s="468"/>
      <c r="N28" s="468"/>
      <c r="O28" s="468"/>
      <c r="P28" s="468"/>
      <c r="Q28" s="468"/>
    </row>
    <row r="29" spans="1:17">
      <c r="A29" s="1404" t="s">
        <v>559</v>
      </c>
      <c r="B29" s="1405"/>
      <c r="C29" s="1405"/>
      <c r="D29" s="1405"/>
      <c r="E29" s="1405"/>
      <c r="F29" s="1405"/>
      <c r="G29" s="1405"/>
      <c r="H29" s="1405"/>
      <c r="I29" s="1405"/>
      <c r="J29" s="470">
        <v>44873.37</v>
      </c>
      <c r="K29" s="468"/>
      <c r="L29" s="468"/>
      <c r="M29" s="468"/>
      <c r="N29" s="468"/>
      <c r="O29" s="470">
        <v>220.36</v>
      </c>
      <c r="P29" s="468"/>
      <c r="Q29" s="468"/>
    </row>
    <row r="30" spans="1:17">
      <c r="A30" s="1404" t="s">
        <v>420</v>
      </c>
      <c r="B30" s="1405"/>
      <c r="C30" s="1405"/>
      <c r="D30" s="1405"/>
      <c r="E30" s="1405"/>
      <c r="F30" s="1405"/>
      <c r="G30" s="1405"/>
      <c r="H30" s="1405"/>
      <c r="I30" s="1405"/>
      <c r="J30" s="468"/>
      <c r="K30" s="468"/>
      <c r="L30" s="468"/>
      <c r="M30" s="468"/>
      <c r="N30" s="468"/>
      <c r="O30" s="468"/>
      <c r="P30" s="468"/>
      <c r="Q30" s="468"/>
    </row>
    <row r="31" spans="1:17">
      <c r="A31" s="1404" t="s">
        <v>421</v>
      </c>
      <c r="B31" s="1405"/>
      <c r="C31" s="1405"/>
      <c r="D31" s="1405"/>
      <c r="E31" s="1405"/>
      <c r="F31" s="1405"/>
      <c r="G31" s="1405"/>
      <c r="H31" s="1405"/>
      <c r="I31" s="1405"/>
      <c r="J31" s="470">
        <v>1129.57</v>
      </c>
      <c r="K31" s="468"/>
      <c r="L31" s="468"/>
      <c r="M31" s="468"/>
      <c r="N31" s="468"/>
      <c r="O31" s="468"/>
      <c r="P31" s="468"/>
      <c r="Q31" s="468"/>
    </row>
    <row r="32" spans="1:17">
      <c r="A32" s="1404" t="s">
        <v>423</v>
      </c>
      <c r="B32" s="1405"/>
      <c r="C32" s="1405"/>
      <c r="D32" s="1405"/>
      <c r="E32" s="1405"/>
      <c r="F32" s="1405"/>
      <c r="G32" s="1405"/>
      <c r="H32" s="1405"/>
      <c r="I32" s="1405"/>
      <c r="J32" s="470">
        <v>21030.67</v>
      </c>
      <c r="K32" s="468"/>
      <c r="L32" s="468"/>
      <c r="M32" s="468"/>
      <c r="N32" s="468"/>
      <c r="O32" s="468"/>
      <c r="P32" s="468"/>
      <c r="Q32" s="468"/>
    </row>
    <row r="33" spans="1:17">
      <c r="A33" s="1404" t="s">
        <v>424</v>
      </c>
      <c r="B33" s="1405"/>
      <c r="C33" s="1405"/>
      <c r="D33" s="1405"/>
      <c r="E33" s="1405"/>
      <c r="F33" s="1405"/>
      <c r="G33" s="1405"/>
      <c r="H33" s="1405"/>
      <c r="I33" s="1405"/>
      <c r="J33" s="470">
        <v>14300.86</v>
      </c>
      <c r="K33" s="468"/>
      <c r="L33" s="468"/>
      <c r="M33" s="468"/>
      <c r="N33" s="468"/>
      <c r="O33" s="468"/>
      <c r="P33" s="468"/>
      <c r="Q33" s="468"/>
    </row>
    <row r="34" spans="1:17">
      <c r="A34" s="1404" t="s">
        <v>425</v>
      </c>
      <c r="B34" s="1405"/>
      <c r="C34" s="1405"/>
      <c r="D34" s="1405"/>
      <c r="E34" s="1405"/>
      <c r="F34" s="1405"/>
      <c r="G34" s="1405"/>
      <c r="H34" s="1405"/>
      <c r="I34" s="1405"/>
      <c r="J34" s="470">
        <v>8412.27</v>
      </c>
      <c r="K34" s="468"/>
      <c r="L34" s="468"/>
      <c r="M34" s="468"/>
      <c r="N34" s="468"/>
      <c r="O34" s="468"/>
      <c r="P34" s="468"/>
      <c r="Q34" s="468"/>
    </row>
    <row r="35" spans="1:17">
      <c r="A35" s="1404" t="s">
        <v>426</v>
      </c>
      <c r="B35" s="1405"/>
      <c r="C35" s="1405"/>
      <c r="D35" s="1405"/>
      <c r="E35" s="1405"/>
      <c r="F35" s="1405"/>
      <c r="G35" s="1405"/>
      <c r="H35" s="1405"/>
      <c r="I35" s="1405"/>
      <c r="J35" s="470">
        <v>8077.21</v>
      </c>
      <c r="K35" s="468"/>
      <c r="L35" s="468"/>
      <c r="M35" s="468"/>
      <c r="N35" s="468"/>
      <c r="O35" s="468"/>
      <c r="P35" s="468"/>
      <c r="Q35" s="468"/>
    </row>
    <row r="36" spans="1:17">
      <c r="A36" s="1407" t="s">
        <v>427</v>
      </c>
      <c r="B36" s="1405"/>
      <c r="C36" s="1405"/>
      <c r="D36" s="1405"/>
      <c r="E36" s="1405"/>
      <c r="F36" s="1405"/>
      <c r="G36" s="1405"/>
      <c r="H36" s="1405"/>
      <c r="I36" s="1405"/>
      <c r="J36" s="469">
        <v>52950.58</v>
      </c>
      <c r="K36" s="468"/>
      <c r="L36" s="468"/>
      <c r="M36" s="468"/>
      <c r="N36" s="468"/>
      <c r="O36" s="469">
        <v>220.36</v>
      </c>
      <c r="P36" s="468"/>
      <c r="Q36" s="468"/>
    </row>
    <row r="37" spans="1:17">
      <c r="A37" s="1399" t="s">
        <v>772</v>
      </c>
      <c r="B37" s="1400"/>
      <c r="C37" s="1400"/>
      <c r="D37" s="1400"/>
      <c r="E37" s="1400"/>
      <c r="F37" s="1400"/>
      <c r="G37" s="1400"/>
      <c r="H37" s="1400"/>
      <c r="I37" s="1401"/>
      <c r="J37" s="469">
        <f>ROUND(PRODUCT(J36/(36.85*100)),2)</f>
        <v>14.37</v>
      </c>
      <c r="K37" s="468"/>
      <c r="L37" s="468"/>
      <c r="M37" s="468"/>
      <c r="N37" s="468"/>
      <c r="O37" s="469"/>
      <c r="P37" s="468"/>
      <c r="Q37" s="468"/>
    </row>
    <row r="38" spans="1:17">
      <c r="A38" s="471"/>
      <c r="B38" s="472"/>
      <c r="C38" s="472"/>
      <c r="D38" s="472"/>
      <c r="E38" s="472"/>
      <c r="F38" s="472"/>
      <c r="G38" s="472"/>
      <c r="H38" s="472"/>
      <c r="I38" s="472"/>
      <c r="J38" s="473"/>
      <c r="K38" s="474"/>
      <c r="L38" s="474"/>
      <c r="M38" s="474"/>
      <c r="N38" s="474"/>
      <c r="O38" s="473"/>
      <c r="P38" s="474"/>
      <c r="Q38" s="474"/>
    </row>
    <row r="39" spans="1:17">
      <c r="A39" s="355"/>
      <c r="B39" s="355"/>
      <c r="C39" s="355" t="s">
        <v>776</v>
      </c>
      <c r="D39" s="355"/>
      <c r="E39" s="355"/>
      <c r="F39" s="476"/>
      <c r="G39" s="476"/>
      <c r="H39" s="476"/>
      <c r="I39" s="476"/>
      <c r="J39" s="476"/>
      <c r="K39" s="475"/>
      <c r="L39" s="475"/>
      <c r="M39" s="475"/>
      <c r="N39" s="475"/>
      <c r="O39" s="475"/>
      <c r="P39" s="475"/>
      <c r="Q39" s="475"/>
    </row>
    <row r="40" spans="1:17">
      <c r="A40" s="355"/>
      <c r="B40" s="355"/>
      <c r="C40" s="355" t="s">
        <v>777</v>
      </c>
      <c r="D40" s="355"/>
      <c r="E40" s="355"/>
      <c r="F40" s="476"/>
      <c r="G40" s="476"/>
      <c r="H40" s="476"/>
      <c r="I40" s="476" t="s">
        <v>641</v>
      </c>
      <c r="J40" s="476"/>
      <c r="K40" s="475"/>
      <c r="L40" s="475"/>
      <c r="M40" s="475"/>
      <c r="N40" s="475"/>
      <c r="O40" s="475"/>
      <c r="P40" s="475"/>
      <c r="Q40" s="475"/>
    </row>
    <row r="41" spans="1:17">
      <c r="A41" s="355"/>
      <c r="B41" s="355"/>
      <c r="C41" s="355"/>
      <c r="D41" s="355"/>
      <c r="E41" s="355"/>
      <c r="F41" s="475"/>
      <c r="G41" s="475"/>
      <c r="H41" s="475"/>
      <c r="I41" s="475"/>
      <c r="J41" s="475"/>
      <c r="K41" s="475"/>
      <c r="L41" s="475"/>
      <c r="M41" s="475"/>
      <c r="N41" s="475"/>
      <c r="O41" s="475"/>
      <c r="P41" s="475"/>
      <c r="Q41" s="475"/>
    </row>
    <row r="42" spans="1:17">
      <c r="A42" s="355"/>
      <c r="B42" s="355"/>
      <c r="C42" s="355"/>
      <c r="D42" s="355"/>
      <c r="E42" s="355"/>
      <c r="F42" s="475"/>
      <c r="G42" s="475"/>
      <c r="H42" s="475"/>
      <c r="I42" s="475"/>
      <c r="J42" s="475"/>
      <c r="K42" s="475"/>
      <c r="L42" s="475"/>
      <c r="M42" s="475"/>
      <c r="N42" s="475"/>
      <c r="O42" s="475"/>
      <c r="P42" s="475"/>
      <c r="Q42" s="475"/>
    </row>
    <row r="43" spans="1:17">
      <c r="A43" s="355"/>
      <c r="B43" s="355"/>
      <c r="C43" s="355"/>
      <c r="D43" s="355"/>
      <c r="E43" s="355"/>
      <c r="F43" s="475"/>
      <c r="G43" s="475"/>
      <c r="H43" s="475"/>
      <c r="I43" s="475"/>
      <c r="J43" s="475"/>
      <c r="K43" s="475"/>
      <c r="L43" s="475"/>
      <c r="M43" s="475"/>
      <c r="N43" s="475"/>
      <c r="O43" s="475"/>
      <c r="P43" s="475"/>
      <c r="Q43" s="475"/>
    </row>
    <row r="44" spans="1:17">
      <c r="A44" s="355"/>
      <c r="B44" s="355"/>
      <c r="C44" s="355"/>
      <c r="D44" s="355"/>
      <c r="E44" s="355"/>
      <c r="F44" s="475"/>
      <c r="G44" s="475"/>
      <c r="H44" s="475"/>
      <c r="I44" s="475"/>
      <c r="J44" s="475"/>
      <c r="K44" s="475"/>
      <c r="L44" s="475"/>
      <c r="M44" s="475"/>
      <c r="N44" s="475"/>
      <c r="O44" s="475"/>
      <c r="P44" s="475"/>
      <c r="Q44" s="475"/>
    </row>
    <row r="45" spans="1:17">
      <c r="A45" s="355"/>
      <c r="B45" s="355"/>
      <c r="C45" s="355"/>
      <c r="D45" s="355"/>
      <c r="E45" s="355"/>
      <c r="F45" s="475"/>
      <c r="G45" s="475"/>
      <c r="H45" s="475"/>
      <c r="I45" s="475"/>
      <c r="J45" s="475"/>
      <c r="K45" s="475"/>
      <c r="L45" s="475"/>
      <c r="M45" s="475"/>
      <c r="N45" s="475"/>
      <c r="O45" s="475"/>
      <c r="P45" s="475"/>
      <c r="Q45" s="475"/>
    </row>
    <row r="46" spans="1:17">
      <c r="A46" s="355"/>
      <c r="B46" s="355"/>
      <c r="C46" s="355"/>
      <c r="D46" s="355"/>
      <c r="E46" s="355"/>
      <c r="F46" s="475"/>
      <c r="G46" s="475"/>
      <c r="H46" s="475"/>
      <c r="I46" s="475"/>
      <c r="J46" s="475"/>
      <c r="K46" s="475"/>
      <c r="L46" s="475"/>
      <c r="M46" s="475"/>
      <c r="N46" s="475"/>
      <c r="O46" s="475"/>
      <c r="P46" s="475"/>
      <c r="Q46" s="475"/>
    </row>
    <row r="47" spans="1:17">
      <c r="A47" s="355"/>
      <c r="B47" s="355"/>
      <c r="C47" s="355"/>
      <c r="D47" s="355"/>
      <c r="E47" s="355"/>
      <c r="F47" s="475"/>
      <c r="G47" s="475"/>
      <c r="H47" s="475"/>
      <c r="I47" s="475"/>
      <c r="J47" s="475"/>
      <c r="K47" s="475"/>
      <c r="L47" s="475"/>
      <c r="M47" s="475"/>
      <c r="N47" s="475"/>
      <c r="O47" s="475"/>
      <c r="P47" s="475"/>
      <c r="Q47" s="475"/>
    </row>
    <row r="48" spans="1:17">
      <c r="A48" s="355"/>
      <c r="B48" s="355"/>
      <c r="C48" s="355"/>
      <c r="D48" s="355"/>
      <c r="E48" s="355"/>
      <c r="F48" s="475"/>
      <c r="G48" s="475"/>
      <c r="H48" s="475"/>
      <c r="I48" s="475"/>
      <c r="J48" s="475"/>
      <c r="K48" s="475"/>
      <c r="L48" s="475"/>
      <c r="M48" s="475"/>
      <c r="N48" s="475"/>
      <c r="O48" s="475"/>
      <c r="P48" s="475"/>
      <c r="Q48" s="475"/>
    </row>
    <row r="49" spans="1:17">
      <c r="A49" s="355"/>
      <c r="B49" s="355"/>
      <c r="C49" s="355"/>
      <c r="D49" s="355"/>
      <c r="E49" s="355"/>
      <c r="F49" s="475"/>
      <c r="G49" s="475"/>
      <c r="H49" s="475"/>
      <c r="I49" s="475"/>
      <c r="J49" s="475"/>
      <c r="K49" s="475"/>
      <c r="L49" s="475"/>
      <c r="M49" s="475"/>
      <c r="N49" s="475"/>
      <c r="O49" s="475"/>
      <c r="P49" s="475"/>
      <c r="Q49" s="475"/>
    </row>
    <row r="50" spans="1:17">
      <c r="A50" s="355"/>
      <c r="B50" s="355"/>
      <c r="C50" s="355"/>
      <c r="D50" s="355"/>
      <c r="E50" s="355"/>
      <c r="F50" s="475"/>
      <c r="G50" s="475"/>
      <c r="H50" s="475"/>
      <c r="I50" s="475"/>
      <c r="J50" s="475"/>
      <c r="K50" s="475"/>
      <c r="L50" s="475"/>
      <c r="M50" s="475"/>
      <c r="N50" s="475"/>
      <c r="O50" s="475"/>
      <c r="P50" s="475"/>
      <c r="Q50" s="475"/>
    </row>
    <row r="51" spans="1:17">
      <c r="A51" s="355"/>
      <c r="B51" s="355"/>
      <c r="C51" s="355"/>
      <c r="D51" s="355"/>
      <c r="E51" s="355"/>
      <c r="F51" s="475"/>
      <c r="G51" s="475"/>
      <c r="H51" s="475"/>
      <c r="I51" s="475"/>
      <c r="J51" s="475"/>
      <c r="K51" s="475"/>
      <c r="L51" s="475"/>
      <c r="M51" s="475"/>
      <c r="N51" s="475"/>
      <c r="O51" s="475"/>
      <c r="P51" s="475"/>
      <c r="Q51" s="475"/>
    </row>
    <row r="52" spans="1:17">
      <c r="A52" s="355"/>
      <c r="B52" s="355"/>
      <c r="C52" s="355"/>
      <c r="D52" s="355"/>
      <c r="E52" s="355"/>
      <c r="F52" s="475"/>
      <c r="G52" s="475"/>
      <c r="H52" s="475"/>
      <c r="I52" s="475"/>
      <c r="J52" s="475"/>
      <c r="K52" s="475"/>
      <c r="L52" s="475"/>
      <c r="M52" s="475"/>
      <c r="N52" s="475"/>
      <c r="O52" s="475"/>
      <c r="P52" s="475"/>
      <c r="Q52" s="475"/>
    </row>
    <row r="53" spans="1:17">
      <c r="A53" s="355"/>
      <c r="B53" s="355"/>
      <c r="C53" s="355"/>
      <c r="D53" s="355"/>
      <c r="E53" s="355"/>
      <c r="F53" s="475"/>
      <c r="G53" s="475"/>
      <c r="H53" s="475"/>
      <c r="I53" s="475"/>
      <c r="J53" s="475"/>
      <c r="K53" s="475"/>
      <c r="L53" s="475"/>
      <c r="M53" s="475"/>
      <c r="N53" s="475"/>
      <c r="O53" s="475"/>
      <c r="P53" s="475"/>
      <c r="Q53" s="475"/>
    </row>
    <row r="54" spans="1:17">
      <c r="A54" s="355"/>
      <c r="B54" s="355"/>
      <c r="C54" s="355"/>
      <c r="D54" s="355"/>
      <c r="E54" s="355"/>
      <c r="F54" s="475"/>
      <c r="G54" s="475"/>
      <c r="H54" s="475"/>
      <c r="I54" s="475"/>
      <c r="J54" s="475"/>
      <c r="K54" s="475"/>
      <c r="L54" s="475"/>
      <c r="M54" s="475"/>
      <c r="N54" s="475"/>
      <c r="O54" s="475"/>
      <c r="P54" s="475"/>
      <c r="Q54" s="475"/>
    </row>
    <row r="55" spans="1:17">
      <c r="A55" s="355"/>
      <c r="B55" s="355"/>
      <c r="C55" s="355"/>
      <c r="D55" s="355"/>
      <c r="E55" s="355"/>
      <c r="F55" s="475"/>
      <c r="G55" s="475"/>
      <c r="H55" s="475"/>
      <c r="I55" s="475"/>
      <c r="J55" s="475"/>
      <c r="K55" s="475"/>
      <c r="L55" s="475"/>
      <c r="M55" s="475"/>
      <c r="N55" s="475"/>
      <c r="O55" s="475"/>
      <c r="P55" s="475"/>
      <c r="Q55" s="475"/>
    </row>
    <row r="56" spans="1:17">
      <c r="A56" s="355"/>
      <c r="B56" s="355"/>
      <c r="C56" s="355"/>
      <c r="D56" s="355"/>
      <c r="E56" s="355"/>
      <c r="F56" s="475"/>
      <c r="G56" s="475"/>
      <c r="H56" s="475"/>
      <c r="I56" s="475"/>
      <c r="J56" s="475"/>
      <c r="K56" s="475"/>
      <c r="L56" s="475"/>
      <c r="M56" s="475"/>
      <c r="N56" s="475"/>
      <c r="O56" s="475"/>
      <c r="P56" s="475"/>
      <c r="Q56" s="475"/>
    </row>
    <row r="57" spans="1:17">
      <c r="A57" s="355"/>
      <c r="B57" s="355"/>
      <c r="C57" s="355"/>
      <c r="D57" s="355"/>
      <c r="E57" s="355"/>
      <c r="F57" s="475"/>
      <c r="G57" s="475"/>
      <c r="H57" s="475"/>
      <c r="I57" s="475"/>
      <c r="J57" s="475"/>
      <c r="K57" s="475"/>
      <c r="L57" s="475"/>
      <c r="M57" s="475"/>
      <c r="N57" s="475"/>
      <c r="O57" s="475"/>
      <c r="P57" s="475"/>
      <c r="Q57" s="475"/>
    </row>
    <row r="58" spans="1:17">
      <c r="A58" s="355"/>
      <c r="B58" s="355"/>
      <c r="C58" s="355"/>
      <c r="D58" s="355"/>
      <c r="E58" s="355"/>
      <c r="F58" s="475"/>
      <c r="G58" s="475"/>
      <c r="H58" s="475"/>
      <c r="I58" s="475"/>
      <c r="J58" s="475"/>
      <c r="K58" s="475"/>
      <c r="L58" s="475"/>
      <c r="M58" s="475"/>
      <c r="N58" s="475"/>
      <c r="O58" s="475"/>
      <c r="P58" s="475"/>
      <c r="Q58" s="475"/>
    </row>
    <row r="59" spans="1:17">
      <c r="A59" s="355"/>
      <c r="B59" s="355"/>
      <c r="C59" s="355"/>
      <c r="D59" s="355"/>
      <c r="E59" s="355"/>
      <c r="F59" s="475"/>
      <c r="G59" s="475"/>
      <c r="H59" s="475"/>
      <c r="I59" s="475"/>
      <c r="J59" s="475"/>
      <c r="K59" s="475"/>
      <c r="L59" s="475"/>
      <c r="M59" s="475"/>
      <c r="N59" s="475"/>
      <c r="O59" s="475"/>
      <c r="P59" s="475"/>
      <c r="Q59" s="475"/>
    </row>
    <row r="60" spans="1:17">
      <c r="A60" s="355"/>
      <c r="B60" s="355"/>
      <c r="C60" s="355"/>
      <c r="D60" s="355"/>
      <c r="E60" s="355"/>
      <c r="F60" s="475"/>
      <c r="G60" s="475"/>
      <c r="H60" s="475"/>
      <c r="I60" s="475"/>
      <c r="J60" s="475"/>
      <c r="K60" s="475"/>
      <c r="L60" s="475"/>
      <c r="M60" s="475"/>
      <c r="N60" s="475"/>
      <c r="O60" s="475"/>
      <c r="P60" s="475"/>
      <c r="Q60" s="475"/>
    </row>
    <row r="61" spans="1:17">
      <c r="A61" s="355"/>
      <c r="B61" s="355"/>
      <c r="C61" s="355"/>
      <c r="D61" s="355"/>
      <c r="E61" s="355"/>
      <c r="F61" s="475"/>
      <c r="G61" s="475"/>
      <c r="H61" s="475"/>
      <c r="I61" s="475"/>
      <c r="J61" s="475"/>
      <c r="K61" s="475"/>
      <c r="L61" s="475"/>
      <c r="M61" s="475"/>
      <c r="N61" s="475"/>
      <c r="O61" s="475"/>
      <c r="P61" s="475"/>
      <c r="Q61" s="475"/>
    </row>
    <row r="62" spans="1:17">
      <c r="A62" s="355"/>
      <c r="B62" s="355"/>
      <c r="C62" s="355"/>
      <c r="D62" s="355"/>
      <c r="E62" s="355"/>
      <c r="F62" s="475"/>
      <c r="G62" s="475"/>
      <c r="H62" s="475"/>
      <c r="I62" s="475"/>
      <c r="J62" s="475"/>
      <c r="K62" s="475"/>
      <c r="L62" s="475"/>
      <c r="M62" s="475"/>
      <c r="N62" s="475"/>
      <c r="O62" s="475"/>
      <c r="P62" s="475"/>
      <c r="Q62" s="475"/>
    </row>
    <row r="63" spans="1:17">
      <c r="A63" s="355"/>
      <c r="B63" s="355"/>
      <c r="C63" s="355"/>
      <c r="D63" s="355"/>
      <c r="E63" s="355"/>
      <c r="F63" s="475"/>
      <c r="G63" s="475"/>
      <c r="H63" s="475"/>
      <c r="I63" s="475"/>
      <c r="J63" s="475"/>
      <c r="K63" s="475"/>
      <c r="L63" s="475"/>
      <c r="M63" s="475"/>
      <c r="N63" s="475"/>
      <c r="O63" s="475"/>
      <c r="P63" s="475"/>
      <c r="Q63" s="475"/>
    </row>
    <row r="64" spans="1:17">
      <c r="A64" s="355"/>
      <c r="B64" s="355"/>
      <c r="C64" s="355"/>
      <c r="D64" s="355"/>
      <c r="E64" s="355"/>
      <c r="F64" s="475"/>
      <c r="G64" s="475"/>
      <c r="H64" s="475"/>
      <c r="I64" s="475"/>
      <c r="J64" s="475"/>
      <c r="K64" s="475"/>
      <c r="L64" s="475"/>
      <c r="M64" s="475"/>
      <c r="N64" s="475"/>
      <c r="O64" s="475"/>
      <c r="P64" s="475"/>
      <c r="Q64" s="475"/>
    </row>
    <row r="65" spans="1:17">
      <c r="A65" s="355"/>
      <c r="B65" s="355"/>
      <c r="C65" s="355"/>
      <c r="D65" s="355"/>
      <c r="E65" s="355"/>
      <c r="F65" s="475"/>
      <c r="G65" s="475"/>
      <c r="H65" s="475"/>
      <c r="I65" s="475"/>
      <c r="J65" s="475"/>
      <c r="K65" s="475"/>
      <c r="L65" s="475"/>
      <c r="M65" s="475"/>
      <c r="N65" s="475"/>
      <c r="O65" s="475"/>
      <c r="P65" s="475"/>
      <c r="Q65" s="475"/>
    </row>
    <row r="66" spans="1:17">
      <c r="A66" s="355"/>
      <c r="B66" s="355"/>
      <c r="C66" s="355"/>
      <c r="D66" s="355"/>
      <c r="E66" s="355"/>
      <c r="F66" s="475"/>
      <c r="G66" s="475"/>
      <c r="H66" s="475"/>
      <c r="I66" s="475"/>
      <c r="J66" s="475"/>
      <c r="K66" s="475"/>
      <c r="L66" s="475"/>
      <c r="M66" s="475"/>
      <c r="N66" s="475"/>
      <c r="O66" s="475"/>
      <c r="P66" s="475"/>
      <c r="Q66" s="475"/>
    </row>
    <row r="67" spans="1:17">
      <c r="A67" s="355"/>
      <c r="B67" s="355"/>
      <c r="C67" s="355"/>
      <c r="D67" s="355"/>
      <c r="E67" s="355"/>
      <c r="F67" s="475"/>
      <c r="G67" s="475"/>
      <c r="H67" s="475"/>
      <c r="I67" s="475"/>
      <c r="J67" s="475"/>
      <c r="K67" s="475"/>
      <c r="L67" s="475"/>
      <c r="M67" s="475"/>
      <c r="N67" s="475"/>
      <c r="O67" s="475"/>
      <c r="P67" s="475"/>
      <c r="Q67" s="475"/>
    </row>
    <row r="68" spans="1:17">
      <c r="A68" s="355"/>
      <c r="B68" s="355"/>
      <c r="C68" s="355"/>
      <c r="D68" s="355"/>
      <c r="E68" s="355"/>
      <c r="F68" s="475"/>
      <c r="G68" s="475"/>
      <c r="H68" s="475"/>
      <c r="I68" s="475"/>
      <c r="J68" s="475"/>
      <c r="K68" s="475"/>
      <c r="L68" s="475"/>
      <c r="M68" s="475"/>
      <c r="N68" s="475"/>
      <c r="O68" s="475"/>
      <c r="P68" s="475"/>
      <c r="Q68" s="475"/>
    </row>
    <row r="69" spans="1:17">
      <c r="A69" s="355"/>
      <c r="B69" s="355"/>
      <c r="C69" s="355"/>
      <c r="D69" s="355"/>
      <c r="E69" s="355"/>
      <c r="F69" s="475"/>
      <c r="G69" s="475"/>
      <c r="H69" s="475"/>
      <c r="I69" s="475"/>
      <c r="J69" s="475"/>
      <c r="K69" s="475"/>
      <c r="L69" s="475"/>
      <c r="M69" s="475"/>
      <c r="N69" s="475"/>
      <c r="O69" s="475"/>
      <c r="P69" s="475"/>
      <c r="Q69" s="475"/>
    </row>
    <row r="70" spans="1:17">
      <c r="A70" s="355"/>
      <c r="B70" s="355"/>
      <c r="C70" s="355"/>
      <c r="D70" s="355"/>
      <c r="E70" s="355"/>
      <c r="F70" s="475"/>
      <c r="G70" s="475"/>
      <c r="H70" s="475"/>
      <c r="I70" s="475"/>
      <c r="J70" s="475"/>
      <c r="K70" s="475"/>
      <c r="L70" s="475"/>
      <c r="M70" s="475"/>
      <c r="N70" s="475"/>
      <c r="O70" s="475"/>
      <c r="P70" s="475"/>
      <c r="Q70" s="475"/>
    </row>
    <row r="71" spans="1:17">
      <c r="F71" s="440"/>
      <c r="G71" s="440"/>
      <c r="H71" s="440"/>
      <c r="I71" s="440"/>
      <c r="J71" s="440"/>
      <c r="K71" s="440"/>
      <c r="L71" s="440"/>
      <c r="M71" s="440"/>
      <c r="N71" s="440"/>
      <c r="O71" s="440"/>
      <c r="P71" s="440"/>
      <c r="Q71" s="440"/>
    </row>
    <row r="72" spans="1:17">
      <c r="F72" s="440"/>
      <c r="G72" s="440"/>
      <c r="H72" s="440"/>
      <c r="I72" s="440"/>
      <c r="J72" s="440"/>
      <c r="K72" s="440"/>
      <c r="L72" s="440"/>
      <c r="M72" s="440"/>
      <c r="N72" s="440"/>
      <c r="O72" s="440"/>
      <c r="P72" s="440"/>
      <c r="Q72" s="440"/>
    </row>
    <row r="73" spans="1:17">
      <c r="F73" s="440"/>
      <c r="G73" s="440"/>
      <c r="H73" s="440"/>
      <c r="I73" s="440"/>
      <c r="J73" s="440"/>
      <c r="K73" s="440"/>
      <c r="L73" s="440"/>
      <c r="M73" s="440"/>
      <c r="N73" s="440"/>
      <c r="O73" s="440"/>
      <c r="P73" s="440"/>
      <c r="Q73" s="440"/>
    </row>
    <row r="74" spans="1:17">
      <c r="F74" s="440"/>
      <c r="G74" s="440"/>
      <c r="H74" s="440"/>
      <c r="I74" s="440"/>
      <c r="J74" s="440"/>
      <c r="K74" s="440"/>
      <c r="L74" s="440"/>
      <c r="M74" s="440"/>
      <c r="N74" s="440"/>
      <c r="O74" s="440"/>
      <c r="P74" s="440"/>
      <c r="Q74" s="440"/>
    </row>
    <row r="75" spans="1:17">
      <c r="F75" s="440"/>
      <c r="G75" s="440"/>
      <c r="H75" s="440"/>
      <c r="I75" s="440"/>
      <c r="J75" s="440"/>
      <c r="K75" s="440"/>
      <c r="L75" s="440"/>
      <c r="M75" s="440"/>
      <c r="N75" s="440"/>
      <c r="O75" s="440"/>
      <c r="P75" s="440"/>
      <c r="Q75" s="440"/>
    </row>
    <row r="76" spans="1:17">
      <c r="F76" s="440"/>
      <c r="G76" s="440"/>
      <c r="H76" s="440"/>
      <c r="I76" s="440"/>
      <c r="J76" s="440"/>
      <c r="K76" s="440"/>
      <c r="L76" s="440"/>
      <c r="M76" s="440"/>
      <c r="N76" s="440"/>
      <c r="O76" s="440"/>
      <c r="P76" s="440"/>
      <c r="Q76" s="440"/>
    </row>
    <row r="77" spans="1:17">
      <c r="F77" s="440"/>
      <c r="G77" s="440"/>
      <c r="H77" s="440"/>
      <c r="I77" s="440"/>
      <c r="J77" s="440"/>
      <c r="K77" s="440"/>
      <c r="L77" s="440"/>
      <c r="M77" s="440"/>
      <c r="N77" s="440"/>
      <c r="O77" s="440"/>
      <c r="P77" s="440"/>
      <c r="Q77" s="440"/>
    </row>
    <row r="78" spans="1:17">
      <c r="F78" s="440"/>
      <c r="G78" s="440"/>
      <c r="H78" s="440"/>
      <c r="I78" s="440"/>
      <c r="J78" s="440"/>
      <c r="K78" s="440"/>
      <c r="L78" s="440"/>
      <c r="M78" s="440"/>
      <c r="N78" s="440"/>
      <c r="O78" s="440"/>
      <c r="P78" s="440"/>
      <c r="Q78" s="440"/>
    </row>
    <row r="79" spans="1:17">
      <c r="F79" s="440"/>
      <c r="G79" s="440"/>
      <c r="H79" s="440"/>
      <c r="I79" s="440"/>
      <c r="J79" s="440"/>
      <c r="K79" s="440"/>
      <c r="L79" s="440"/>
      <c r="M79" s="440"/>
      <c r="N79" s="440"/>
      <c r="O79" s="440"/>
      <c r="P79" s="440"/>
      <c r="Q79" s="440"/>
    </row>
    <row r="80" spans="1:17">
      <c r="F80" s="440"/>
      <c r="G80" s="440"/>
      <c r="H80" s="440"/>
      <c r="I80" s="440"/>
      <c r="J80" s="440"/>
      <c r="K80" s="440"/>
      <c r="L80" s="440"/>
      <c r="M80" s="440"/>
      <c r="N80" s="440"/>
      <c r="O80" s="440"/>
      <c r="P80" s="440"/>
      <c r="Q80" s="440"/>
    </row>
  </sheetData>
  <mergeCells count="39">
    <mergeCell ref="B10:B12"/>
    <mergeCell ref="F11:F12"/>
    <mergeCell ref="A36:I36"/>
    <mergeCell ref="J8:K8"/>
    <mergeCell ref="A27:I27"/>
    <mergeCell ref="A28:I28"/>
    <mergeCell ref="A29:I29"/>
    <mergeCell ref="A30:I30"/>
    <mergeCell ref="A31:I31"/>
    <mergeCell ref="A32:I32"/>
    <mergeCell ref="A21:I21"/>
    <mergeCell ref="A22:I22"/>
    <mergeCell ref="A23:I23"/>
    <mergeCell ref="A24:I24"/>
    <mergeCell ref="A10:A12"/>
    <mergeCell ref="C10:C12"/>
    <mergeCell ref="D10:D12"/>
    <mergeCell ref="E10:E12"/>
    <mergeCell ref="Q10:Q12"/>
    <mergeCell ref="J11:J12"/>
    <mergeCell ref="K11:M11"/>
    <mergeCell ref="J10:M10"/>
    <mergeCell ref="P10:P12"/>
    <mergeCell ref="A37:I37"/>
    <mergeCell ref="F10:I10"/>
    <mergeCell ref="G11:I11"/>
    <mergeCell ref="O10:O12"/>
    <mergeCell ref="N10:N12"/>
    <mergeCell ref="A25:I25"/>
    <mergeCell ref="A26:I26"/>
    <mergeCell ref="A14:Q14"/>
    <mergeCell ref="A16:I16"/>
    <mergeCell ref="A17:Q17"/>
    <mergeCell ref="A18:I18"/>
    <mergeCell ref="A19:I19"/>
    <mergeCell ref="A20:I20"/>
    <mergeCell ref="A33:I33"/>
    <mergeCell ref="A34:I34"/>
    <mergeCell ref="A35:I35"/>
  </mergeCells>
  <pageMargins left="0.70866141732283472" right="0.70866141732283472" top="0" bottom="0" header="0.31496062992125984" footer="0.31496062992125984"/>
  <pageSetup paperSize="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tabColor theme="0"/>
  </sheetPr>
  <dimension ref="A1:J33"/>
  <sheetViews>
    <sheetView workbookViewId="0">
      <pane xSplit="18825" topLeftCell="R1"/>
      <selection activeCell="D21" sqref="D21:D22"/>
      <selection pane="topRight" activeCell="R79" sqref="R79"/>
    </sheetView>
  </sheetViews>
  <sheetFormatPr defaultRowHeight="15"/>
  <cols>
    <col min="1" max="1" width="6" customWidth="1"/>
    <col min="2" max="2" width="44.42578125" customWidth="1"/>
    <col min="3" max="4" width="6.28515625" bestFit="1" customWidth="1"/>
    <col min="5" max="5" width="12.5703125" customWidth="1"/>
    <col min="6" max="6" width="14.42578125" customWidth="1"/>
    <col min="7" max="7" width="12" customWidth="1"/>
    <col min="8" max="8" width="16.140625" customWidth="1"/>
    <col min="9" max="9" width="11.85546875" customWidth="1"/>
    <col min="10" max="10" width="17.7109375" customWidth="1"/>
    <col min="11" max="11" width="8.7109375" customWidth="1"/>
    <col min="12" max="12" width="8.85546875" customWidth="1"/>
  </cols>
  <sheetData>
    <row r="1" spans="1:10">
      <c r="B1" s="293"/>
      <c r="C1" s="293"/>
      <c r="D1" s="293"/>
      <c r="E1" s="310" t="s">
        <v>757</v>
      </c>
      <c r="F1" s="310" t="s">
        <v>758</v>
      </c>
      <c r="G1" s="310" t="s">
        <v>757</v>
      </c>
      <c r="H1" s="310" t="s">
        <v>758</v>
      </c>
      <c r="I1" s="310" t="s">
        <v>757</v>
      </c>
      <c r="J1" s="310" t="s">
        <v>758</v>
      </c>
    </row>
    <row r="2" spans="1:10">
      <c r="B2" s="293"/>
      <c r="C2" s="293"/>
      <c r="D2" s="293"/>
      <c r="E2" s="310">
        <f>'с 21.12.2013-20.12.2014'!H12</f>
        <v>1</v>
      </c>
      <c r="F2" s="310">
        <f>'с 21.12.2013-20.12.2014'!I12</f>
        <v>1</v>
      </c>
      <c r="G2" s="310">
        <f>E2</f>
        <v>1</v>
      </c>
      <c r="H2" s="310">
        <f>F2</f>
        <v>1</v>
      </c>
      <c r="I2" s="310">
        <f>G2</f>
        <v>1</v>
      </c>
      <c r="J2" s="310">
        <f>H2</f>
        <v>1</v>
      </c>
    </row>
    <row r="3" spans="1:10" ht="21.75" customHeight="1">
      <c r="B3" s="293" t="s">
        <v>948</v>
      </c>
      <c r="C3" s="293"/>
      <c r="D3" s="293"/>
      <c r="E3" s="310" t="s">
        <v>767</v>
      </c>
      <c r="F3" s="310">
        <v>1</v>
      </c>
      <c r="G3" s="310" t="s">
        <v>767</v>
      </c>
      <c r="H3" s="310">
        <v>1</v>
      </c>
      <c r="I3" s="310" t="s">
        <v>767</v>
      </c>
      <c r="J3" s="310">
        <v>1</v>
      </c>
    </row>
    <row r="4" spans="1:10" ht="21.75" customHeight="1" thickBot="1">
      <c r="B4" s="293"/>
      <c r="C4" s="293"/>
      <c r="D4" s="293"/>
      <c r="E4" s="876"/>
      <c r="F4" s="877"/>
      <c r="G4" s="876"/>
      <c r="H4" s="877"/>
      <c r="I4" s="876"/>
      <c r="J4" s="877"/>
    </row>
    <row r="5" spans="1:10" ht="18" customHeight="1" thickBot="1">
      <c r="A5" s="890" t="s">
        <v>26</v>
      </c>
      <c r="B5" s="891" t="s">
        <v>148</v>
      </c>
      <c r="C5" s="892" t="s">
        <v>728</v>
      </c>
      <c r="D5" s="893" t="s">
        <v>729</v>
      </c>
      <c r="E5" s="1417" t="s">
        <v>944</v>
      </c>
      <c r="F5" s="1418"/>
      <c r="G5" s="1417" t="s">
        <v>945</v>
      </c>
      <c r="H5" s="1418"/>
      <c r="I5" s="1417" t="s">
        <v>945</v>
      </c>
      <c r="J5" s="1418"/>
    </row>
    <row r="6" spans="1:10" ht="26.25" customHeight="1">
      <c r="A6" s="894"/>
      <c r="B6" s="895" t="s">
        <v>759</v>
      </c>
      <c r="C6" s="894"/>
      <c r="D6" s="896"/>
      <c r="E6" s="888" t="s">
        <v>730</v>
      </c>
      <c r="F6" s="889" t="s">
        <v>947</v>
      </c>
      <c r="G6" s="888" t="s">
        <v>730</v>
      </c>
      <c r="H6" s="889" t="s">
        <v>946</v>
      </c>
      <c r="I6" s="888" t="s">
        <v>730</v>
      </c>
      <c r="J6" s="889" t="s">
        <v>946</v>
      </c>
    </row>
    <row r="7" spans="1:10" ht="38.25">
      <c r="A7" s="430">
        <v>1</v>
      </c>
      <c r="B7" s="147" t="s">
        <v>939</v>
      </c>
      <c r="C7" s="308" t="s">
        <v>31</v>
      </c>
      <c r="D7" s="878">
        <v>88.52</v>
      </c>
      <c r="E7" s="879">
        <f>'стоимость содержания'!F38*E2*F3</f>
        <v>2554.5528658944008</v>
      </c>
      <c r="F7" s="880">
        <f t="shared" ref="F7:F12" si="0">D7*E7</f>
        <v>226129.01968897236</v>
      </c>
      <c r="G7" s="879">
        <f>'стоимость содержания'!F38*G2*H3</f>
        <v>2554.5528658944008</v>
      </c>
      <c r="H7" s="880">
        <f>G7*D7</f>
        <v>226129.01968897236</v>
      </c>
      <c r="I7" s="879">
        <f>'стоимость содержания'!F38*I2*J3</f>
        <v>2554.5528658944008</v>
      </c>
      <c r="J7" s="880">
        <f>I7*D7</f>
        <v>226129.01968897236</v>
      </c>
    </row>
    <row r="8" spans="1:10" ht="25.5">
      <c r="A8" s="430">
        <f>A7+1</f>
        <v>2</v>
      </c>
      <c r="B8" s="680" t="s">
        <v>940</v>
      </c>
      <c r="C8" s="308" t="s">
        <v>31</v>
      </c>
      <c r="D8" s="878">
        <v>7.89</v>
      </c>
      <c r="E8" s="879">
        <f>'стоимость содержания'!F41*E2*F3</f>
        <v>6584.2239560832004</v>
      </c>
      <c r="F8" s="880">
        <f t="shared" si="0"/>
        <v>51949.527013496452</v>
      </c>
      <c r="G8" s="879">
        <f>'стоимость содержания'!F41*G2*H3</f>
        <v>6584.2239560832004</v>
      </c>
      <c r="H8" s="880">
        <f t="shared" ref="H8:H12" si="1">G8*D8</f>
        <v>51949.527013496452</v>
      </c>
      <c r="I8" s="879">
        <f>'стоимость содержания'!F41*I2*J3</f>
        <v>6584.2239560832004</v>
      </c>
      <c r="J8" s="880">
        <f t="shared" ref="J8:J12" si="2">I8*D8</f>
        <v>51949.527013496452</v>
      </c>
    </row>
    <row r="9" spans="1:10" ht="25.5">
      <c r="A9" s="430">
        <f>A8+1</f>
        <v>3</v>
      </c>
      <c r="B9" s="680" t="s">
        <v>637</v>
      </c>
      <c r="C9" s="308" t="s">
        <v>31</v>
      </c>
      <c r="D9" s="878">
        <f>230/100</f>
        <v>2.2999999999999998</v>
      </c>
      <c r="E9" s="879">
        <f>'стоимость содержания'!F42*E2*F3</f>
        <v>545.81011301375997</v>
      </c>
      <c r="F9" s="880">
        <f t="shared" si="0"/>
        <v>1255.3632599316479</v>
      </c>
      <c r="G9" s="879">
        <f>'стоимость содержания'!F42*G2*H3</f>
        <v>545.81011301375997</v>
      </c>
      <c r="H9" s="880">
        <f t="shared" si="1"/>
        <v>1255.3632599316479</v>
      </c>
      <c r="I9" s="879">
        <f>'стоимость содержания'!F42*I2*J3</f>
        <v>545.81011301375997</v>
      </c>
      <c r="J9" s="880">
        <f t="shared" si="2"/>
        <v>1255.3632599316479</v>
      </c>
    </row>
    <row r="10" spans="1:10" ht="25.5">
      <c r="A10" s="430">
        <f>A9+1</f>
        <v>4</v>
      </c>
      <c r="B10" s="147" t="s">
        <v>941</v>
      </c>
      <c r="C10" s="308" t="s">
        <v>21</v>
      </c>
      <c r="D10" s="878">
        <v>92</v>
      </c>
      <c r="E10" s="879">
        <f>'стоимость содержания'!F39*E2*F3</f>
        <v>1691.1900932161534</v>
      </c>
      <c r="F10" s="880">
        <f t="shared" si="0"/>
        <v>155589.48857588612</v>
      </c>
      <c r="G10" s="879">
        <f>'стоимость содержания'!F39*G2*H3</f>
        <v>1691.1900932161534</v>
      </c>
      <c r="H10" s="880">
        <f t="shared" si="1"/>
        <v>155589.48857588612</v>
      </c>
      <c r="I10" s="879">
        <f>'стоимость содержания'!F39*I2*J3</f>
        <v>1691.1900932161534</v>
      </c>
      <c r="J10" s="880">
        <f t="shared" si="2"/>
        <v>155589.48857588612</v>
      </c>
    </row>
    <row r="11" spans="1:10" ht="25.5">
      <c r="A11" s="430">
        <f>A10+1</f>
        <v>5</v>
      </c>
      <c r="B11" s="75" t="s">
        <v>731</v>
      </c>
      <c r="C11" s="308" t="s">
        <v>21</v>
      </c>
      <c r="D11" s="878">
        <v>98</v>
      </c>
      <c r="E11" s="879">
        <f>'стоимость содержания'!F40*E2*F3</f>
        <v>253.59748788326402</v>
      </c>
      <c r="F11" s="880">
        <f t="shared" si="0"/>
        <v>24852.553812559876</v>
      </c>
      <c r="G11" s="879">
        <f>'стоимость содержания'!F40*G2*H3</f>
        <v>253.59748788326402</v>
      </c>
      <c r="H11" s="880">
        <f t="shared" si="1"/>
        <v>24852.553812559876</v>
      </c>
      <c r="I11" s="879">
        <f>'стоимость содержания'!F40*I2*J3</f>
        <v>253.59748788326402</v>
      </c>
      <c r="J11" s="880">
        <f t="shared" si="2"/>
        <v>24852.553812559876</v>
      </c>
    </row>
    <row r="12" spans="1:10" ht="13.5" customHeight="1">
      <c r="A12" s="430"/>
      <c r="B12" s="75" t="s">
        <v>942</v>
      </c>
      <c r="C12" s="308" t="s">
        <v>31</v>
      </c>
      <c r="D12" s="878">
        <v>88.52</v>
      </c>
      <c r="E12" s="879">
        <f>'стоимость содержания'!F32*E2*F3</f>
        <v>132.60692735999999</v>
      </c>
      <c r="F12" s="880">
        <f t="shared" si="0"/>
        <v>11738.365209907199</v>
      </c>
      <c r="G12" s="879">
        <f>'стоимость содержания'!F32*G2*H3</f>
        <v>132.60692735999999</v>
      </c>
      <c r="H12" s="880">
        <f t="shared" si="1"/>
        <v>11738.365209907199</v>
      </c>
      <c r="I12" s="879">
        <f>'стоимость содержания'!F32*I2*J3</f>
        <v>132.60692735999999</v>
      </c>
      <c r="J12" s="880">
        <f t="shared" si="2"/>
        <v>11738.365209907199</v>
      </c>
    </row>
    <row r="13" spans="1:10" ht="18" customHeight="1">
      <c r="A13" s="432"/>
      <c r="B13" s="867" t="s">
        <v>732</v>
      </c>
      <c r="C13" s="308"/>
      <c r="D13" s="878"/>
      <c r="E13" s="879"/>
      <c r="F13" s="880">
        <f>F11+F10+F9+F8+F7+F12</f>
        <v>471514.31756075367</v>
      </c>
      <c r="G13" s="879"/>
      <c r="H13" s="880">
        <f>H11+H10+H9+H8+H7+H12</f>
        <v>471514.31756075367</v>
      </c>
      <c r="I13" s="879"/>
      <c r="J13" s="880">
        <f>J11+J10+J9+J8+J7+J12</f>
        <v>471514.31756075367</v>
      </c>
    </row>
    <row r="14" spans="1:10" ht="25.5">
      <c r="A14" s="875"/>
      <c r="B14" s="868" t="s">
        <v>534</v>
      </c>
      <c r="C14" s="869" t="s">
        <v>728</v>
      </c>
      <c r="D14" s="874" t="s">
        <v>729</v>
      </c>
      <c r="E14" s="881" t="s">
        <v>730</v>
      </c>
      <c r="F14" s="882" t="str">
        <f>F6</f>
        <v>ИТОГО 2014г.</v>
      </c>
      <c r="G14" s="881" t="s">
        <v>730</v>
      </c>
      <c r="H14" s="882" t="str">
        <f>H6</f>
        <v>ИТОГО 2015г.</v>
      </c>
      <c r="I14" s="881" t="s">
        <v>730</v>
      </c>
      <c r="J14" s="882" t="str">
        <f>J6</f>
        <v>ИТОГО 2015г.</v>
      </c>
    </row>
    <row r="15" spans="1:10" ht="25.5">
      <c r="A15" s="431">
        <v>1</v>
      </c>
      <c r="B15" s="870" t="s">
        <v>738</v>
      </c>
      <c r="C15" s="871" t="s">
        <v>31</v>
      </c>
      <c r="D15" s="900">
        <f>14</f>
        <v>14</v>
      </c>
      <c r="E15" s="883">
        <f>'стоимость содержания'!F8*F2*F3</f>
        <v>1748.1091185995042</v>
      </c>
      <c r="F15" s="884">
        <f>E15*D15</f>
        <v>24473.527660393058</v>
      </c>
      <c r="G15" s="883">
        <f>'стоимость содержания'!F8*H2*H3</f>
        <v>1748.1091185995042</v>
      </c>
      <c r="H15" s="884">
        <f>G15*D15</f>
        <v>24473.527660393058</v>
      </c>
      <c r="I15" s="883">
        <f>'стоимость содержания'!F8*J2*J3</f>
        <v>1748.1091185995042</v>
      </c>
      <c r="J15" s="884">
        <f>I15*D15</f>
        <v>24473.527660393058</v>
      </c>
    </row>
    <row r="16" spans="1:10" ht="17.25" customHeight="1">
      <c r="A16" s="431">
        <f>A15+1</f>
        <v>2</v>
      </c>
      <c r="B16" s="870" t="s">
        <v>739</v>
      </c>
      <c r="C16" s="871" t="s">
        <v>31</v>
      </c>
      <c r="D16" s="900">
        <f>11011.86/100</f>
        <v>110.1186</v>
      </c>
      <c r="E16" s="883">
        <f>'стоимость содержания'!F9*F2*F3</f>
        <v>3119.0489017876807</v>
      </c>
      <c r="F16" s="884">
        <f>E16*D16</f>
        <v>343465.29839639692</v>
      </c>
      <c r="G16" s="883">
        <f>'стоимость содержания'!F9*H2*H3</f>
        <v>3119.0489017876807</v>
      </c>
      <c r="H16" s="884">
        <f t="shared" ref="H16:H27" si="3">G16*D16</f>
        <v>343465.29839639692</v>
      </c>
      <c r="I16" s="883">
        <f>'стоимость содержания'!F9*J2*J3</f>
        <v>3119.0489017876807</v>
      </c>
      <c r="J16" s="884">
        <f t="shared" ref="J16:J27" si="4">I16*D16</f>
        <v>343465.29839639692</v>
      </c>
    </row>
    <row r="17" spans="1:10" ht="18" customHeight="1">
      <c r="A17" s="431">
        <f>A16+1</f>
        <v>3</v>
      </c>
      <c r="B17" s="11" t="s">
        <v>32</v>
      </c>
      <c r="C17" s="308" t="s">
        <v>21</v>
      </c>
      <c r="D17" s="900">
        <v>92</v>
      </c>
      <c r="E17" s="883">
        <f>'стоимость содержания'!F10*F2*F3</f>
        <v>1849.1567693644802</v>
      </c>
      <c r="F17" s="884">
        <f t="shared" ref="F17:F26" si="5">E17*D17</f>
        <v>170122.42278153216</v>
      </c>
      <c r="G17" s="883">
        <f>'стоимость содержания'!F10*H2*H3</f>
        <v>1849.1567693644802</v>
      </c>
      <c r="H17" s="884">
        <f t="shared" si="3"/>
        <v>170122.42278153216</v>
      </c>
      <c r="I17" s="883">
        <f>'стоимость содержания'!F10*J2*J3</f>
        <v>1849.1567693644802</v>
      </c>
      <c r="J17" s="884">
        <f t="shared" si="4"/>
        <v>170122.42278153216</v>
      </c>
    </row>
    <row r="18" spans="1:10" ht="24" customHeight="1">
      <c r="A18" s="431">
        <f>A17+1</f>
        <v>4</v>
      </c>
      <c r="B18" s="11" t="s">
        <v>41</v>
      </c>
      <c r="C18" s="871" t="s">
        <v>31</v>
      </c>
      <c r="D18" s="900">
        <f>77586/100</f>
        <v>775.86</v>
      </c>
      <c r="E18" s="883">
        <f>'стоимость содержания'!F11*F2*F3</f>
        <v>1494.53173924672</v>
      </c>
      <c r="F18" s="884">
        <f t="shared" si="5"/>
        <v>1159547.3952119602</v>
      </c>
      <c r="G18" s="883">
        <f>'стоимость содержания'!F11*H2*H3</f>
        <v>1494.53173924672</v>
      </c>
      <c r="H18" s="884">
        <f t="shared" si="3"/>
        <v>1159547.3952119602</v>
      </c>
      <c r="I18" s="883">
        <f>'стоимость содержания'!F11*J2*J3</f>
        <v>1494.53173924672</v>
      </c>
      <c r="J18" s="884">
        <f t="shared" si="4"/>
        <v>1159547.3952119602</v>
      </c>
    </row>
    <row r="19" spans="1:10" ht="16.5" customHeight="1">
      <c r="A19" s="431">
        <f>A18+1</f>
        <v>5</v>
      </c>
      <c r="B19" s="11" t="s">
        <v>42</v>
      </c>
      <c r="C19" s="308" t="s">
        <v>21</v>
      </c>
      <c r="D19" s="900">
        <v>71</v>
      </c>
      <c r="E19" s="883">
        <f>'стоимость содержания'!F15*F2*F3</f>
        <v>69.266673072000003</v>
      </c>
      <c r="F19" s="884">
        <f t="shared" si="5"/>
        <v>4917.933788112</v>
      </c>
      <c r="G19" s="883">
        <f>'стоимость содержания'!F15*H2*H3</f>
        <v>69.266673072000003</v>
      </c>
      <c r="H19" s="884">
        <f t="shared" si="3"/>
        <v>4917.933788112</v>
      </c>
      <c r="I19" s="883">
        <f>'стоимость содержания'!F15*J2*J3</f>
        <v>69.266673072000003</v>
      </c>
      <c r="J19" s="884">
        <f t="shared" si="4"/>
        <v>4917.933788112</v>
      </c>
    </row>
    <row r="20" spans="1:10" ht="17.25" customHeight="1">
      <c r="A20" s="431">
        <v>6</v>
      </c>
      <c r="B20" s="11" t="s">
        <v>687</v>
      </c>
      <c r="C20" s="308" t="s">
        <v>742</v>
      </c>
      <c r="D20" s="900">
        <f>908/100</f>
        <v>9.08</v>
      </c>
      <c r="E20" s="883">
        <f>'стоимость содержания'!F19*F2*F3</f>
        <v>13700.897819136002</v>
      </c>
      <c r="F20" s="884">
        <f t="shared" si="5"/>
        <v>124404.1521977549</v>
      </c>
      <c r="G20" s="883">
        <f>'стоимость содержания'!F19*H2*H3</f>
        <v>13700.897819136002</v>
      </c>
      <c r="H20" s="884">
        <f t="shared" si="3"/>
        <v>124404.1521977549</v>
      </c>
      <c r="I20" s="883">
        <f>'стоимость содержания'!F19*J2*J3</f>
        <v>13700.897819136002</v>
      </c>
      <c r="J20" s="884">
        <f t="shared" si="4"/>
        <v>124404.1521977549</v>
      </c>
    </row>
    <row r="21" spans="1:10" ht="27.75" customHeight="1">
      <c r="A21" s="431">
        <v>7</v>
      </c>
      <c r="B21" s="11" t="s">
        <v>741</v>
      </c>
      <c r="C21" s="308" t="s">
        <v>470</v>
      </c>
      <c r="D21" s="900">
        <v>680.12</v>
      </c>
      <c r="E21" s="883">
        <f>'стоимость содержания'!F31*F2*F3</f>
        <v>427.53827491015687</v>
      </c>
      <c r="F21" s="884">
        <f t="shared" si="5"/>
        <v>290777.33153189591</v>
      </c>
      <c r="G21" s="883">
        <f>'стоимость содержания'!F31*H2*H3</f>
        <v>427.53827491015687</v>
      </c>
      <c r="H21" s="884">
        <f t="shared" si="3"/>
        <v>290777.33153189591</v>
      </c>
      <c r="I21" s="883">
        <f>'стоимость содержания'!F31*J2*J3</f>
        <v>427.53827491015687</v>
      </c>
      <c r="J21" s="884">
        <f t="shared" si="4"/>
        <v>290777.33153189591</v>
      </c>
    </row>
    <row r="22" spans="1:10" ht="17.25" customHeight="1">
      <c r="A22" s="431">
        <v>8</v>
      </c>
      <c r="B22" s="11" t="s">
        <v>46</v>
      </c>
      <c r="C22" s="308"/>
      <c r="D22" s="900">
        <f>680.12/100</f>
        <v>6.8011999999999997</v>
      </c>
      <c r="E22" s="883">
        <f>'стоимость содержания'!F22*'расчетна конечный рез. '!F2*'расчетна конечный рез. '!F3</f>
        <v>13284.0922339872</v>
      </c>
      <c r="F22" s="884">
        <f>E22*D22</f>
        <v>90347.768101793743</v>
      </c>
      <c r="G22" s="883">
        <f>'стоимость содержания'!F22*H2*H3</f>
        <v>13284.0922339872</v>
      </c>
      <c r="H22" s="884">
        <f t="shared" si="3"/>
        <v>90347.768101793743</v>
      </c>
      <c r="I22" s="883">
        <f>'стоимость содержания'!F22*J2*J3</f>
        <v>13284.0922339872</v>
      </c>
      <c r="J22" s="884">
        <f t="shared" si="4"/>
        <v>90347.768101793743</v>
      </c>
    </row>
    <row r="23" spans="1:10">
      <c r="A23" s="431">
        <v>9</v>
      </c>
      <c r="B23" s="11" t="s">
        <v>50</v>
      </c>
      <c r="C23" s="308" t="s">
        <v>21</v>
      </c>
      <c r="D23" s="900">
        <v>92</v>
      </c>
      <c r="E23" s="883">
        <f>'стоимость содержания'!F29*F2*F3</f>
        <v>69.290000000000006</v>
      </c>
      <c r="F23" s="884">
        <f>E23*D23</f>
        <v>6374.68</v>
      </c>
      <c r="G23" s="883">
        <f>'стоимость содержания'!F29*H2*H3</f>
        <v>69.290000000000006</v>
      </c>
      <c r="H23" s="884">
        <f>G23*D23</f>
        <v>6374.68</v>
      </c>
      <c r="I23" s="883">
        <f>'стоимость содержания'!F29*J2*J3</f>
        <v>69.290000000000006</v>
      </c>
      <c r="J23" s="884">
        <f t="shared" si="4"/>
        <v>6374.68</v>
      </c>
    </row>
    <row r="24" spans="1:10">
      <c r="A24" s="431">
        <v>10</v>
      </c>
      <c r="B24" s="11" t="s">
        <v>51</v>
      </c>
      <c r="C24" s="308" t="s">
        <v>21</v>
      </c>
      <c r="D24" s="900">
        <v>98</v>
      </c>
      <c r="E24" s="883">
        <f>'стоимость содержания'!F30*F2*F3</f>
        <v>269.7</v>
      </c>
      <c r="F24" s="884">
        <f t="shared" si="5"/>
        <v>26430.6</v>
      </c>
      <c r="G24" s="883">
        <f>'стоимость содержания'!F30*H2*H3</f>
        <v>269.7</v>
      </c>
      <c r="H24" s="884">
        <f t="shared" si="3"/>
        <v>26430.6</v>
      </c>
      <c r="I24" s="883">
        <f>'стоимость содержания'!F30*J2*J3</f>
        <v>269.7</v>
      </c>
      <c r="J24" s="884">
        <f t="shared" si="4"/>
        <v>26430.6</v>
      </c>
    </row>
    <row r="25" spans="1:10" ht="12" customHeight="1">
      <c r="A25" s="431">
        <v>11</v>
      </c>
      <c r="B25" s="872" t="s">
        <v>740</v>
      </c>
      <c r="C25" s="308" t="s">
        <v>470</v>
      </c>
      <c r="D25" s="878">
        <v>34</v>
      </c>
      <c r="E25" s="883">
        <f>'стоимость содержания'!F33*F2*F3</f>
        <v>83.07</v>
      </c>
      <c r="F25" s="884">
        <f t="shared" si="5"/>
        <v>2824.3799999999997</v>
      </c>
      <c r="G25" s="883">
        <f>'стоимость содержания'!F33*H2*H3</f>
        <v>83.07</v>
      </c>
      <c r="H25" s="884">
        <f t="shared" si="3"/>
        <v>2824.3799999999997</v>
      </c>
      <c r="I25" s="883">
        <f>'стоимость содержания'!F33*J2*J3</f>
        <v>83.07</v>
      </c>
      <c r="J25" s="884">
        <f t="shared" si="4"/>
        <v>2824.3799999999997</v>
      </c>
    </row>
    <row r="26" spans="1:10" ht="12" customHeight="1">
      <c r="A26" s="431">
        <v>13</v>
      </c>
      <c r="B26" s="872" t="s">
        <v>765</v>
      </c>
      <c r="C26" s="308" t="s">
        <v>470</v>
      </c>
      <c r="D26" s="900">
        <v>102</v>
      </c>
      <c r="E26" s="883">
        <f>'стоимость содержания'!K35*F2*F3</f>
        <v>47.920900000000003</v>
      </c>
      <c r="F26" s="884">
        <f t="shared" si="5"/>
        <v>4887.9318000000003</v>
      </c>
      <c r="G26" s="883">
        <f>'стоимость содержания'!F35*H2*H3</f>
        <v>47.920900000000003</v>
      </c>
      <c r="H26" s="884">
        <f t="shared" si="3"/>
        <v>4887.9318000000003</v>
      </c>
      <c r="I26" s="883">
        <f>'стоимость содержания'!F35*J2*J3</f>
        <v>47.920900000000003</v>
      </c>
      <c r="J26" s="884">
        <f t="shared" si="4"/>
        <v>4887.9318000000003</v>
      </c>
    </row>
    <row r="27" spans="1:10" ht="12" customHeight="1">
      <c r="A27" s="431"/>
      <c r="B27" s="872" t="s">
        <v>943</v>
      </c>
      <c r="C27" s="308" t="s">
        <v>21</v>
      </c>
      <c r="D27" s="900">
        <v>35</v>
      </c>
      <c r="E27" s="883">
        <f>'стоимость содержания'!F36</f>
        <v>51.934874872320002</v>
      </c>
      <c r="F27" s="884">
        <f>D27*E27*F2*F3</f>
        <v>1817.7206205312</v>
      </c>
      <c r="G27" s="883">
        <f>'стоимость содержания'!F36</f>
        <v>51.934874872320002</v>
      </c>
      <c r="H27" s="884">
        <f t="shared" si="3"/>
        <v>1817.7206205312</v>
      </c>
      <c r="I27" s="883">
        <f>'стоимость содержания'!F36</f>
        <v>51.934874872320002</v>
      </c>
      <c r="J27" s="884">
        <f t="shared" si="4"/>
        <v>1817.7206205312</v>
      </c>
    </row>
    <row r="28" spans="1:10" ht="15" customHeight="1">
      <c r="A28" s="431"/>
      <c r="B28" s="873" t="s">
        <v>743</v>
      </c>
      <c r="C28" s="308"/>
      <c r="D28" s="878"/>
      <c r="E28" s="885"/>
      <c r="F28" s="884">
        <f>F25+F24+F23+F22+F21+F20+F19+F18+F17+F16+F15+F26+F27</f>
        <v>2250391.1420903699</v>
      </c>
      <c r="G28" s="885"/>
      <c r="H28" s="884">
        <f>H25+H24+H23+H22+H21+H20+H19+H18+H17+H16+H15+H26+H27</f>
        <v>2250391.1420903699</v>
      </c>
      <c r="I28" s="885"/>
      <c r="J28" s="884">
        <f>J25+J24+J23+J22+J21+J20+J19+J18+J17+J16+J15+J26+J27</f>
        <v>2250391.1420903699</v>
      </c>
    </row>
    <row r="29" spans="1:10" ht="15" customHeight="1" thickBot="1">
      <c r="A29" s="431"/>
      <c r="B29" s="873"/>
      <c r="C29" s="308"/>
      <c r="D29" s="878"/>
      <c r="E29" s="886"/>
      <c r="F29" s="887"/>
      <c r="G29" s="886"/>
      <c r="H29" s="887"/>
      <c r="I29" s="886"/>
      <c r="J29" s="887"/>
    </row>
    <row r="30" spans="1:10" ht="17.25" customHeight="1" thickBot="1">
      <c r="A30" s="1414" t="s">
        <v>744</v>
      </c>
      <c r="B30" s="1415"/>
      <c r="C30" s="1415"/>
      <c r="D30" s="1416"/>
      <c r="E30" s="1419">
        <f>F28+F13</f>
        <v>2721905.4596511237</v>
      </c>
      <c r="F30" s="1420"/>
      <c r="G30" s="1419">
        <f>H28+H13</f>
        <v>2721905.4596511237</v>
      </c>
      <c r="H30" s="1420"/>
      <c r="I30" s="1419">
        <f>J28+J13</f>
        <v>2721905.4596511237</v>
      </c>
      <c r="J30" s="1420"/>
    </row>
    <row r="31" spans="1:10">
      <c r="B31" s="293"/>
      <c r="C31" s="293"/>
      <c r="D31" s="293"/>
      <c r="E31" s="293"/>
      <c r="F31" s="293"/>
      <c r="G31" s="293"/>
      <c r="H31" s="293"/>
    </row>
    <row r="33" ht="15" customHeight="1"/>
  </sheetData>
  <mergeCells count="7">
    <mergeCell ref="A30:D30"/>
    <mergeCell ref="E5:F5"/>
    <mergeCell ref="G5:H5"/>
    <mergeCell ref="I5:J5"/>
    <mergeCell ref="G30:H30"/>
    <mergeCell ref="I30:J30"/>
    <mergeCell ref="E30:F30"/>
  </mergeCells>
  <pageMargins left="0" right="0" top="0" bottom="0" header="0" footer="0"/>
  <pageSetup paperSize="9" scale="95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Q43"/>
  <sheetViews>
    <sheetView topLeftCell="A10" workbookViewId="0">
      <selection activeCell="J41" sqref="J41"/>
    </sheetView>
  </sheetViews>
  <sheetFormatPr defaultRowHeight="15"/>
  <cols>
    <col min="1" max="1" width="4.42578125" customWidth="1"/>
    <col min="2" max="2" width="11.42578125" customWidth="1"/>
    <col min="3" max="3" width="31.42578125" customWidth="1"/>
  </cols>
  <sheetData>
    <row r="1" spans="1:17">
      <c r="A1" s="811"/>
      <c r="B1" s="814"/>
      <c r="C1" s="809"/>
      <c r="D1" s="810"/>
      <c r="E1" s="813"/>
      <c r="F1" s="812"/>
      <c r="G1" s="812"/>
      <c r="H1" s="812"/>
      <c r="I1" s="812"/>
      <c r="J1" s="812"/>
      <c r="K1" s="812"/>
      <c r="L1" s="812"/>
      <c r="M1" s="812"/>
      <c r="N1" s="812"/>
      <c r="O1" s="812"/>
      <c r="P1" s="812"/>
      <c r="Q1" s="812"/>
    </row>
    <row r="2" spans="1:17">
      <c r="A2" s="811"/>
      <c r="B2" s="814"/>
      <c r="C2" s="809"/>
      <c r="D2" s="810"/>
      <c r="E2" s="813"/>
      <c r="F2" s="812"/>
      <c r="G2" s="812"/>
      <c r="H2" s="820" t="s">
        <v>650</v>
      </c>
      <c r="I2" s="820"/>
      <c r="J2" s="812"/>
      <c r="K2" s="812"/>
      <c r="L2" s="812"/>
      <c r="M2" s="812"/>
      <c r="N2" s="812"/>
      <c r="O2" s="812"/>
      <c r="P2" s="812"/>
      <c r="Q2" s="812"/>
    </row>
    <row r="3" spans="1:17">
      <c r="A3" s="811"/>
      <c r="B3" s="814"/>
      <c r="C3" s="809"/>
      <c r="D3" s="810"/>
      <c r="E3" s="813"/>
      <c r="F3" s="812"/>
      <c r="G3" s="812"/>
      <c r="H3" s="811" t="s">
        <v>651</v>
      </c>
      <c r="I3" s="811"/>
      <c r="J3" s="812"/>
      <c r="K3" s="812"/>
      <c r="L3" s="812"/>
      <c r="M3" s="812"/>
      <c r="N3" s="812"/>
      <c r="O3" s="812"/>
      <c r="P3" s="812"/>
      <c r="Q3" s="812"/>
    </row>
    <row r="4" spans="1:17" ht="5.25" customHeight="1">
      <c r="A4" s="811"/>
      <c r="B4" s="814"/>
      <c r="C4" s="809"/>
      <c r="D4" s="810"/>
      <c r="E4" s="813"/>
      <c r="F4" s="812"/>
      <c r="G4" s="812"/>
      <c r="H4" s="812"/>
      <c r="I4" s="812"/>
      <c r="J4" s="812"/>
      <c r="K4" s="812"/>
      <c r="L4" s="812"/>
      <c r="M4" s="812"/>
      <c r="N4" s="812"/>
      <c r="O4" s="812"/>
      <c r="P4" s="812"/>
      <c r="Q4" s="812"/>
    </row>
    <row r="5" spans="1:17">
      <c r="A5" s="811"/>
      <c r="B5" s="814"/>
      <c r="C5" s="821" t="s">
        <v>652</v>
      </c>
      <c r="D5" s="822" t="s">
        <v>897</v>
      </c>
      <c r="E5" s="823"/>
      <c r="F5" s="812"/>
      <c r="G5" s="812"/>
      <c r="H5" s="811"/>
      <c r="I5" s="812"/>
      <c r="J5" s="812"/>
      <c r="K5" s="816"/>
      <c r="L5" s="816"/>
      <c r="M5" s="812"/>
      <c r="N5" s="812"/>
      <c r="O5" s="812"/>
      <c r="P5" s="812"/>
      <c r="Q5" s="812"/>
    </row>
    <row r="6" spans="1:17">
      <c r="A6" s="811"/>
      <c r="B6" s="814"/>
      <c r="C6" s="809"/>
      <c r="D6" s="810"/>
      <c r="E6" s="824"/>
      <c r="F6" s="817"/>
      <c r="G6" s="817"/>
      <c r="H6" s="818" t="s">
        <v>407</v>
      </c>
      <c r="I6" s="818"/>
      <c r="J6" s="817"/>
      <c r="K6" s="819"/>
      <c r="L6" s="812"/>
      <c r="M6" s="812"/>
      <c r="N6" s="812"/>
      <c r="O6" s="812"/>
      <c r="P6" s="812"/>
      <c r="Q6" s="812"/>
    </row>
    <row r="7" spans="1:17" ht="6.75" customHeight="1">
      <c r="A7" s="825"/>
      <c r="B7" s="826"/>
      <c r="C7" s="809"/>
      <c r="D7" s="810"/>
      <c r="E7" s="813"/>
      <c r="F7" s="812"/>
      <c r="G7" s="812"/>
      <c r="H7" s="812"/>
      <c r="I7" s="812"/>
      <c r="J7" s="812"/>
      <c r="K7" s="812"/>
      <c r="L7" s="812"/>
      <c r="M7" s="812"/>
      <c r="N7" s="812"/>
      <c r="O7" s="812"/>
      <c r="P7" s="812"/>
      <c r="Q7" s="812"/>
    </row>
    <row r="8" spans="1:17">
      <c r="A8" s="811"/>
      <c r="B8" s="814"/>
      <c r="C8" s="809"/>
      <c r="D8" s="823" t="s">
        <v>556</v>
      </c>
      <c r="E8" s="811"/>
      <c r="F8" s="812"/>
      <c r="G8" s="812"/>
      <c r="H8" s="812"/>
      <c r="I8" s="823"/>
      <c r="J8" s="1421" t="s">
        <v>898</v>
      </c>
      <c r="K8" s="1422"/>
      <c r="L8" s="815" t="s">
        <v>848</v>
      </c>
      <c r="M8" s="812"/>
      <c r="N8" s="812"/>
      <c r="O8" s="812"/>
      <c r="P8" s="812"/>
      <c r="Q8" s="812"/>
    </row>
    <row r="9" spans="1:17">
      <c r="A9" s="811"/>
      <c r="B9" s="814"/>
      <c r="C9" s="809"/>
      <c r="D9" s="823" t="s">
        <v>654</v>
      </c>
      <c r="E9" s="811"/>
      <c r="F9" s="812"/>
      <c r="G9" s="812"/>
      <c r="H9" s="812"/>
      <c r="I9" s="823"/>
      <c r="J9" s="1421" t="s">
        <v>899</v>
      </c>
      <c r="K9" s="1422"/>
      <c r="L9" s="815" t="s">
        <v>848</v>
      </c>
      <c r="M9" s="812"/>
      <c r="N9" s="812"/>
      <c r="O9" s="812"/>
      <c r="P9" s="812"/>
      <c r="Q9" s="812"/>
    </row>
    <row r="10" spans="1:17" ht="11.25" customHeight="1">
      <c r="A10" s="811"/>
      <c r="B10" s="814"/>
      <c r="C10" s="809"/>
      <c r="D10" s="823" t="s">
        <v>655</v>
      </c>
      <c r="E10" s="811"/>
      <c r="F10" s="812"/>
      <c r="G10" s="812"/>
      <c r="H10" s="812"/>
      <c r="I10" s="823"/>
      <c r="J10" s="1421" t="s">
        <v>900</v>
      </c>
      <c r="K10" s="1422"/>
      <c r="L10" s="815" t="s">
        <v>657</v>
      </c>
      <c r="M10" s="812"/>
      <c r="N10" s="812"/>
      <c r="O10" s="812"/>
      <c r="P10" s="812"/>
      <c r="Q10" s="812"/>
    </row>
    <row r="11" spans="1:17" ht="15" customHeight="1">
      <c r="A11" s="811"/>
      <c r="B11" s="814"/>
      <c r="C11" s="809"/>
      <c r="D11" s="831" t="s">
        <v>682</v>
      </c>
      <c r="E11" s="811"/>
      <c r="F11" s="812"/>
      <c r="G11" s="812"/>
      <c r="H11" s="812"/>
      <c r="I11" s="812"/>
      <c r="J11" s="812"/>
      <c r="K11" s="812"/>
      <c r="L11" s="812"/>
      <c r="M11" s="812"/>
      <c r="N11" s="812"/>
      <c r="O11" s="812"/>
      <c r="P11" s="812"/>
      <c r="Q11" s="812"/>
    </row>
    <row r="12" spans="1:17" ht="15" customHeight="1">
      <c r="A12" s="811"/>
      <c r="B12" s="814"/>
      <c r="C12" s="809"/>
      <c r="D12" s="831"/>
      <c r="E12" s="811"/>
      <c r="F12" s="812"/>
      <c r="G12" s="812"/>
      <c r="H12" s="812"/>
      <c r="I12" s="812"/>
      <c r="J12" s="812"/>
      <c r="K12" s="812"/>
      <c r="L12" s="812"/>
      <c r="M12" s="812"/>
      <c r="N12" s="812"/>
      <c r="O12" s="812"/>
      <c r="P12" s="812"/>
      <c r="Q12" s="812"/>
    </row>
    <row r="13" spans="1:17">
      <c r="A13" s="1426" t="s">
        <v>408</v>
      </c>
      <c r="B13" s="1429" t="s">
        <v>851</v>
      </c>
      <c r="C13" s="1426" t="s">
        <v>409</v>
      </c>
      <c r="D13" s="1426" t="s">
        <v>181</v>
      </c>
      <c r="E13" s="1426" t="s">
        <v>410</v>
      </c>
      <c r="F13" s="1426" t="s">
        <v>411</v>
      </c>
      <c r="G13" s="1427"/>
      <c r="H13" s="1427"/>
      <c r="I13" s="1427"/>
      <c r="J13" s="1426" t="s">
        <v>412</v>
      </c>
      <c r="K13" s="1427"/>
      <c r="L13" s="1427"/>
      <c r="M13" s="1427"/>
      <c r="N13" s="1426" t="s">
        <v>658</v>
      </c>
      <c r="O13" s="1426" t="s">
        <v>659</v>
      </c>
      <c r="P13" s="1426" t="s">
        <v>660</v>
      </c>
      <c r="Q13" s="1426" t="s">
        <v>661</v>
      </c>
    </row>
    <row r="14" spans="1:17">
      <c r="A14" s="1427"/>
      <c r="B14" s="1430"/>
      <c r="C14" s="1428"/>
      <c r="D14" s="1426"/>
      <c r="E14" s="1427"/>
      <c r="F14" s="1426" t="s">
        <v>170</v>
      </c>
      <c r="G14" s="1426" t="s">
        <v>171</v>
      </c>
      <c r="H14" s="1427"/>
      <c r="I14" s="1427"/>
      <c r="J14" s="1426" t="s">
        <v>170</v>
      </c>
      <c r="K14" s="1426" t="s">
        <v>171</v>
      </c>
      <c r="L14" s="1427"/>
      <c r="M14" s="1427"/>
      <c r="N14" s="1426"/>
      <c r="O14" s="1426"/>
      <c r="P14" s="1426"/>
      <c r="Q14" s="1426"/>
    </row>
    <row r="15" spans="1:17" ht="15" customHeight="1">
      <c r="A15" s="1427"/>
      <c r="B15" s="1430"/>
      <c r="C15" s="1428"/>
      <c r="D15" s="1426"/>
      <c r="E15" s="1427"/>
      <c r="F15" s="1427"/>
      <c r="G15" s="827" t="s">
        <v>413</v>
      </c>
      <c r="H15" s="827" t="s">
        <v>662</v>
      </c>
      <c r="I15" s="827" t="s">
        <v>414</v>
      </c>
      <c r="J15" s="1427"/>
      <c r="K15" s="827" t="s">
        <v>413</v>
      </c>
      <c r="L15" s="827" t="s">
        <v>662</v>
      </c>
      <c r="M15" s="827" t="s">
        <v>414</v>
      </c>
      <c r="N15" s="1426"/>
      <c r="O15" s="1426"/>
      <c r="P15" s="1426"/>
      <c r="Q15" s="1426"/>
    </row>
    <row r="16" spans="1:17" ht="46.5" customHeight="1">
      <c r="A16" s="830">
        <v>1</v>
      </c>
      <c r="B16" s="829">
        <v>2</v>
      </c>
      <c r="C16" s="827">
        <v>3</v>
      </c>
      <c r="D16" s="827">
        <v>4</v>
      </c>
      <c r="E16" s="830">
        <v>5</v>
      </c>
      <c r="F16" s="828">
        <v>6</v>
      </c>
      <c r="G16" s="828">
        <v>7</v>
      </c>
      <c r="H16" s="828">
        <v>8</v>
      </c>
      <c r="I16" s="828">
        <v>9</v>
      </c>
      <c r="J16" s="828">
        <v>10</v>
      </c>
      <c r="K16" s="828">
        <v>11</v>
      </c>
      <c r="L16" s="828">
        <v>12</v>
      </c>
      <c r="M16" s="828">
        <v>13</v>
      </c>
      <c r="N16" s="828">
        <v>14</v>
      </c>
      <c r="O16" s="828">
        <v>15</v>
      </c>
      <c r="P16" s="828">
        <v>16</v>
      </c>
      <c r="Q16" s="828">
        <v>17</v>
      </c>
    </row>
    <row r="17" spans="1:17">
      <c r="A17" s="1431" t="s">
        <v>663</v>
      </c>
      <c r="B17" s="1424"/>
      <c r="C17" s="1424"/>
      <c r="D17" s="1424"/>
      <c r="E17" s="1424"/>
      <c r="F17" s="1424"/>
      <c r="G17" s="1424"/>
      <c r="H17" s="1424"/>
      <c r="I17" s="1424"/>
      <c r="J17" s="1424"/>
      <c r="K17" s="1424"/>
      <c r="L17" s="1424"/>
      <c r="M17" s="1424"/>
      <c r="N17" s="1424"/>
      <c r="O17" s="1424"/>
      <c r="P17" s="1424"/>
      <c r="Q17" s="1424"/>
    </row>
    <row r="18" spans="1:17" ht="15" customHeight="1">
      <c r="A18" s="830">
        <v>1</v>
      </c>
      <c r="B18" s="832" t="s">
        <v>885</v>
      </c>
      <c r="C18" s="833" t="s">
        <v>753</v>
      </c>
      <c r="D18" s="834" t="s">
        <v>415</v>
      </c>
      <c r="E18" s="835">
        <v>1</v>
      </c>
      <c r="F18" s="836">
        <v>55.03</v>
      </c>
      <c r="G18" s="836">
        <v>47.48</v>
      </c>
      <c r="H18" s="836"/>
      <c r="I18" s="836"/>
      <c r="J18" s="836">
        <v>55.03</v>
      </c>
      <c r="K18" s="836">
        <v>47.48</v>
      </c>
      <c r="L18" s="836"/>
      <c r="M18" s="836"/>
      <c r="N18" s="836">
        <v>5.98</v>
      </c>
      <c r="O18" s="836">
        <v>5.98</v>
      </c>
      <c r="P18" s="836"/>
      <c r="Q18" s="836"/>
    </row>
    <row r="19" spans="1:17" ht="36">
      <c r="A19" s="830">
        <v>2</v>
      </c>
      <c r="B19" s="832" t="s">
        <v>763</v>
      </c>
      <c r="C19" s="833" t="s">
        <v>784</v>
      </c>
      <c r="D19" s="834" t="s">
        <v>21</v>
      </c>
      <c r="E19" s="835">
        <v>20.399999999999999</v>
      </c>
      <c r="F19" s="836">
        <v>31.94</v>
      </c>
      <c r="G19" s="836"/>
      <c r="H19" s="836"/>
      <c r="I19" s="836"/>
      <c r="J19" s="836">
        <v>651.58000000000004</v>
      </c>
      <c r="K19" s="836"/>
      <c r="L19" s="836"/>
      <c r="M19" s="836"/>
      <c r="N19" s="836"/>
      <c r="O19" s="836"/>
      <c r="P19" s="836"/>
      <c r="Q19" s="836"/>
    </row>
    <row r="20" spans="1:17" ht="15" customHeight="1">
      <c r="A20" s="1432" t="s">
        <v>749</v>
      </c>
      <c r="B20" s="1433"/>
      <c r="C20" s="1433"/>
      <c r="D20" s="1433"/>
      <c r="E20" s="1433"/>
      <c r="F20" s="1433"/>
      <c r="G20" s="1433"/>
      <c r="H20" s="1433"/>
      <c r="I20" s="1433"/>
      <c r="J20" s="1433"/>
      <c r="K20" s="1433"/>
      <c r="L20" s="1433"/>
      <c r="M20" s="1433"/>
      <c r="N20" s="1433"/>
      <c r="O20" s="1433"/>
      <c r="P20" s="1433"/>
      <c r="Q20" s="1433"/>
    </row>
    <row r="21" spans="1:17" ht="15" customHeight="1">
      <c r="A21" s="1423" t="s">
        <v>417</v>
      </c>
      <c r="B21" s="1424"/>
      <c r="C21" s="1424"/>
      <c r="D21" s="1424"/>
      <c r="E21" s="1424"/>
      <c r="F21" s="1424"/>
      <c r="G21" s="1424"/>
      <c r="H21" s="1424"/>
      <c r="I21" s="1424"/>
      <c r="J21" s="837">
        <v>706.61</v>
      </c>
      <c r="K21" s="837">
        <v>47.48</v>
      </c>
      <c r="L21" s="836"/>
      <c r="M21" s="836"/>
      <c r="N21" s="836"/>
      <c r="O21" s="837">
        <v>5.98</v>
      </c>
      <c r="P21" s="836"/>
      <c r="Q21" s="836"/>
    </row>
    <row r="22" spans="1:17" ht="15" customHeight="1">
      <c r="A22" s="1423" t="s">
        <v>418</v>
      </c>
      <c r="B22" s="1424"/>
      <c r="C22" s="1424"/>
      <c r="D22" s="1424"/>
      <c r="E22" s="1424"/>
      <c r="F22" s="1424"/>
      <c r="G22" s="1424"/>
      <c r="H22" s="1424"/>
      <c r="I22" s="1424"/>
      <c r="J22" s="837">
        <v>3411.65</v>
      </c>
      <c r="K22" s="837">
        <v>636.71</v>
      </c>
      <c r="L22" s="836"/>
      <c r="M22" s="836"/>
      <c r="N22" s="836"/>
      <c r="O22" s="837">
        <v>5.98</v>
      </c>
      <c r="P22" s="836"/>
      <c r="Q22" s="836"/>
    </row>
    <row r="23" spans="1:17" ht="15" customHeight="1">
      <c r="A23" s="1423" t="s">
        <v>683</v>
      </c>
      <c r="B23" s="1424"/>
      <c r="C23" s="1424"/>
      <c r="D23" s="1424"/>
      <c r="E23" s="1424"/>
      <c r="F23" s="1424"/>
      <c r="G23" s="1424"/>
      <c r="H23" s="1424"/>
      <c r="I23" s="1424"/>
      <c r="J23" s="836"/>
      <c r="K23" s="836"/>
      <c r="L23" s="836"/>
      <c r="M23" s="836"/>
      <c r="N23" s="836"/>
      <c r="O23" s="836"/>
      <c r="P23" s="836"/>
      <c r="Q23" s="836"/>
    </row>
    <row r="24" spans="1:17" ht="15" customHeight="1">
      <c r="A24" s="1423" t="s">
        <v>887</v>
      </c>
      <c r="B24" s="1424"/>
      <c r="C24" s="1424"/>
      <c r="D24" s="1424"/>
      <c r="E24" s="1424"/>
      <c r="F24" s="1424"/>
      <c r="G24" s="1424"/>
      <c r="H24" s="1424"/>
      <c r="I24" s="1424"/>
      <c r="J24" s="837">
        <v>2705.04</v>
      </c>
      <c r="K24" s="837">
        <v>589.23</v>
      </c>
      <c r="L24" s="836"/>
      <c r="M24" s="836"/>
      <c r="N24" s="836"/>
      <c r="O24" s="836"/>
      <c r="P24" s="836"/>
      <c r="Q24" s="836"/>
    </row>
    <row r="25" spans="1:17" ht="15" customHeight="1">
      <c r="A25" s="1423" t="s">
        <v>172</v>
      </c>
      <c r="B25" s="1424"/>
      <c r="C25" s="1424"/>
      <c r="D25" s="1424"/>
      <c r="E25" s="1424"/>
      <c r="F25" s="1424"/>
      <c r="G25" s="1424"/>
      <c r="H25" s="1424"/>
      <c r="I25" s="1424"/>
      <c r="J25" s="837">
        <v>432.96</v>
      </c>
      <c r="K25" s="836"/>
      <c r="L25" s="836"/>
      <c r="M25" s="836"/>
      <c r="N25" s="836"/>
      <c r="O25" s="836"/>
      <c r="P25" s="836"/>
      <c r="Q25" s="836"/>
    </row>
    <row r="26" spans="1:17" ht="15" customHeight="1">
      <c r="A26" s="1423" t="s">
        <v>683</v>
      </c>
      <c r="B26" s="1424"/>
      <c r="C26" s="1424"/>
      <c r="D26" s="1424"/>
      <c r="E26" s="1424"/>
      <c r="F26" s="1424"/>
      <c r="G26" s="1424"/>
      <c r="H26" s="1424"/>
      <c r="I26" s="1424"/>
      <c r="J26" s="836"/>
      <c r="K26" s="836"/>
      <c r="L26" s="836"/>
      <c r="M26" s="836"/>
      <c r="N26" s="836"/>
      <c r="O26" s="836"/>
      <c r="P26" s="836"/>
      <c r="Q26" s="836"/>
    </row>
    <row r="27" spans="1:17" ht="15" customHeight="1">
      <c r="A27" s="1423" t="s">
        <v>901</v>
      </c>
      <c r="B27" s="1424"/>
      <c r="C27" s="1424"/>
      <c r="D27" s="1424"/>
      <c r="E27" s="1424"/>
      <c r="F27" s="1424"/>
      <c r="G27" s="1424"/>
      <c r="H27" s="1424"/>
      <c r="I27" s="1424"/>
      <c r="J27" s="837">
        <v>432.96</v>
      </c>
      <c r="K27" s="836"/>
      <c r="L27" s="836"/>
      <c r="M27" s="836"/>
      <c r="N27" s="836"/>
      <c r="O27" s="836"/>
      <c r="P27" s="836"/>
      <c r="Q27" s="836"/>
    </row>
    <row r="28" spans="1:17" ht="15" customHeight="1">
      <c r="A28" s="1423" t="s">
        <v>173</v>
      </c>
      <c r="B28" s="1424"/>
      <c r="C28" s="1424"/>
      <c r="D28" s="1424"/>
      <c r="E28" s="1424"/>
      <c r="F28" s="1424"/>
      <c r="G28" s="1424"/>
      <c r="H28" s="1424"/>
      <c r="I28" s="1424"/>
      <c r="J28" s="837">
        <v>254.68</v>
      </c>
      <c r="K28" s="836"/>
      <c r="L28" s="836"/>
      <c r="M28" s="836"/>
      <c r="N28" s="836"/>
      <c r="O28" s="836"/>
      <c r="P28" s="836"/>
      <c r="Q28" s="836"/>
    </row>
    <row r="29" spans="1:17" ht="15" customHeight="1">
      <c r="A29" s="1423" t="s">
        <v>683</v>
      </c>
      <c r="B29" s="1424"/>
      <c r="C29" s="1424"/>
      <c r="D29" s="1424"/>
      <c r="E29" s="1424"/>
      <c r="F29" s="1424"/>
      <c r="G29" s="1424"/>
      <c r="H29" s="1424"/>
      <c r="I29" s="1424"/>
      <c r="J29" s="836"/>
      <c r="K29" s="836"/>
      <c r="L29" s="836"/>
      <c r="M29" s="836"/>
      <c r="N29" s="836"/>
      <c r="O29" s="836"/>
      <c r="P29" s="836"/>
      <c r="Q29" s="836"/>
    </row>
    <row r="30" spans="1:17" ht="15" customHeight="1">
      <c r="A30" s="1423" t="s">
        <v>902</v>
      </c>
      <c r="B30" s="1424"/>
      <c r="C30" s="1424"/>
      <c r="D30" s="1424"/>
      <c r="E30" s="1424"/>
      <c r="F30" s="1424"/>
      <c r="G30" s="1424"/>
      <c r="H30" s="1424"/>
      <c r="I30" s="1424"/>
      <c r="J30" s="837">
        <v>254.68</v>
      </c>
      <c r="K30" s="836"/>
      <c r="L30" s="836"/>
      <c r="M30" s="836"/>
      <c r="N30" s="836"/>
      <c r="O30" s="836"/>
      <c r="P30" s="836"/>
      <c r="Q30" s="836"/>
    </row>
    <row r="31" spans="1:17" ht="15" customHeight="1">
      <c r="A31" s="1425" t="s">
        <v>419</v>
      </c>
      <c r="B31" s="1424"/>
      <c r="C31" s="1424"/>
      <c r="D31" s="1424"/>
      <c r="E31" s="1424"/>
      <c r="F31" s="1424"/>
      <c r="G31" s="1424"/>
      <c r="H31" s="1424"/>
      <c r="I31" s="1424"/>
      <c r="J31" s="836"/>
      <c r="K31" s="836"/>
      <c r="L31" s="836"/>
      <c r="M31" s="836"/>
      <c r="N31" s="836"/>
      <c r="O31" s="836"/>
      <c r="P31" s="836"/>
      <c r="Q31" s="836"/>
    </row>
    <row r="32" spans="1:17" ht="15" customHeight="1">
      <c r="A32" s="1423" t="s">
        <v>873</v>
      </c>
      <c r="B32" s="1424"/>
      <c r="C32" s="1424"/>
      <c r="D32" s="1424"/>
      <c r="E32" s="1424"/>
      <c r="F32" s="1424"/>
      <c r="G32" s="1424"/>
      <c r="H32" s="1424"/>
      <c r="I32" s="1424"/>
      <c r="J32" s="837">
        <v>4099.29</v>
      </c>
      <c r="K32" s="836"/>
      <c r="L32" s="836"/>
      <c r="M32" s="836"/>
      <c r="N32" s="836"/>
      <c r="O32" s="837">
        <v>5.98</v>
      </c>
      <c r="P32" s="836"/>
      <c r="Q32" s="836"/>
    </row>
    <row r="33" spans="1:17" ht="15" customHeight="1">
      <c r="A33" s="1423" t="s">
        <v>559</v>
      </c>
      <c r="B33" s="1424"/>
      <c r="C33" s="1424"/>
      <c r="D33" s="1424"/>
      <c r="E33" s="1424"/>
      <c r="F33" s="1424"/>
      <c r="G33" s="1424"/>
      <c r="H33" s="1424"/>
      <c r="I33" s="1424"/>
      <c r="J33" s="837">
        <v>4099.29</v>
      </c>
      <c r="K33" s="836"/>
      <c r="L33" s="836"/>
      <c r="M33" s="836"/>
      <c r="N33" s="836"/>
      <c r="O33" s="837">
        <v>5.98</v>
      </c>
      <c r="P33" s="836"/>
      <c r="Q33" s="836"/>
    </row>
    <row r="34" spans="1:17" ht="15" customHeight="1">
      <c r="A34" s="1423" t="s">
        <v>420</v>
      </c>
      <c r="B34" s="1424"/>
      <c r="C34" s="1424"/>
      <c r="D34" s="1424"/>
      <c r="E34" s="1424"/>
      <c r="F34" s="1424"/>
      <c r="G34" s="1424"/>
      <c r="H34" s="1424"/>
      <c r="I34" s="1424"/>
      <c r="J34" s="836"/>
      <c r="K34" s="836"/>
      <c r="L34" s="836"/>
      <c r="M34" s="836"/>
      <c r="N34" s="836"/>
      <c r="O34" s="836"/>
      <c r="P34" s="836"/>
      <c r="Q34" s="836"/>
    </row>
    <row r="35" spans="1:17" ht="15" customHeight="1">
      <c r="A35" s="1423" t="s">
        <v>421</v>
      </c>
      <c r="B35" s="1424"/>
      <c r="C35" s="1424"/>
      <c r="D35" s="1424"/>
      <c r="E35" s="1424"/>
      <c r="F35" s="1424"/>
      <c r="G35" s="1424"/>
      <c r="H35" s="1424"/>
      <c r="I35" s="1424"/>
      <c r="J35" s="837">
        <v>2774.94</v>
      </c>
      <c r="K35" s="836"/>
      <c r="L35" s="836"/>
      <c r="M35" s="836"/>
      <c r="N35" s="836"/>
      <c r="O35" s="836"/>
      <c r="P35" s="836"/>
      <c r="Q35" s="836"/>
    </row>
    <row r="36" spans="1:17" ht="15" customHeight="1">
      <c r="A36" s="1423" t="s">
        <v>423</v>
      </c>
      <c r="B36" s="1424"/>
      <c r="C36" s="1424"/>
      <c r="D36" s="1424"/>
      <c r="E36" s="1424"/>
      <c r="F36" s="1424"/>
      <c r="G36" s="1424"/>
      <c r="H36" s="1424"/>
      <c r="I36" s="1424"/>
      <c r="J36" s="837">
        <v>636.71</v>
      </c>
      <c r="K36" s="836"/>
      <c r="L36" s="836"/>
      <c r="M36" s="836"/>
      <c r="N36" s="836"/>
      <c r="O36" s="836"/>
      <c r="P36" s="836"/>
      <c r="Q36" s="836"/>
    </row>
    <row r="37" spans="1:17" ht="15" customHeight="1">
      <c r="A37" s="1423" t="s">
        <v>424</v>
      </c>
      <c r="B37" s="1424"/>
      <c r="C37" s="1424"/>
      <c r="D37" s="1424"/>
      <c r="E37" s="1424"/>
      <c r="F37" s="1424"/>
      <c r="G37" s="1424"/>
      <c r="H37" s="1424"/>
      <c r="I37" s="1424"/>
      <c r="J37" s="837">
        <v>432.96</v>
      </c>
      <c r="K37" s="836"/>
      <c r="L37" s="836"/>
      <c r="M37" s="836"/>
      <c r="N37" s="836"/>
      <c r="O37" s="836"/>
      <c r="P37" s="836"/>
      <c r="Q37" s="836"/>
    </row>
    <row r="38" spans="1:17" ht="15" customHeight="1">
      <c r="A38" s="1423" t="s">
        <v>425</v>
      </c>
      <c r="B38" s="1424"/>
      <c r="C38" s="1424"/>
      <c r="D38" s="1424"/>
      <c r="E38" s="1424"/>
      <c r="F38" s="1424"/>
      <c r="G38" s="1424"/>
      <c r="H38" s="1424"/>
      <c r="I38" s="1424"/>
      <c r="J38" s="837">
        <v>254.68</v>
      </c>
      <c r="K38" s="836"/>
      <c r="L38" s="836"/>
      <c r="M38" s="836"/>
      <c r="N38" s="836"/>
      <c r="O38" s="836"/>
      <c r="P38" s="836"/>
      <c r="Q38" s="836"/>
    </row>
    <row r="39" spans="1:17" ht="15" customHeight="1">
      <c r="A39" s="1423" t="s">
        <v>426</v>
      </c>
      <c r="B39" s="1424"/>
      <c r="C39" s="1424"/>
      <c r="D39" s="1424"/>
      <c r="E39" s="1424"/>
      <c r="F39" s="1424"/>
      <c r="G39" s="1424"/>
      <c r="H39" s="1424"/>
      <c r="I39" s="1424"/>
      <c r="J39" s="837">
        <v>737.87</v>
      </c>
      <c r="K39" s="836"/>
      <c r="L39" s="836"/>
      <c r="M39" s="836"/>
      <c r="N39" s="836"/>
      <c r="O39" s="836"/>
      <c r="P39" s="836"/>
      <c r="Q39" s="836"/>
    </row>
    <row r="40" spans="1:17">
      <c r="A40" s="1425" t="s">
        <v>427</v>
      </c>
      <c r="B40" s="1424"/>
      <c r="C40" s="1424"/>
      <c r="D40" s="1424"/>
      <c r="E40" s="1424"/>
      <c r="F40" s="1424"/>
      <c r="G40" s="1424"/>
      <c r="H40" s="1424"/>
      <c r="I40" s="1424"/>
      <c r="J40" s="838">
        <v>4792.09</v>
      </c>
      <c r="K40" s="836"/>
      <c r="L40" s="836"/>
      <c r="M40" s="836"/>
      <c r="N40" s="836"/>
      <c r="O40" s="838">
        <v>5.98</v>
      </c>
      <c r="P40" s="836"/>
      <c r="Q40" s="836"/>
    </row>
    <row r="41" spans="1:17">
      <c r="A41" s="1434"/>
      <c r="B41" s="1435"/>
      <c r="C41" s="1435"/>
      <c r="D41" s="1435"/>
      <c r="E41" s="1435"/>
      <c r="F41" s="1435"/>
      <c r="G41" s="1435"/>
      <c r="H41" s="1435"/>
      <c r="I41" s="1436"/>
      <c r="J41" s="839">
        <f>J40/100</f>
        <v>47.920900000000003</v>
      </c>
      <c r="K41" s="1437"/>
      <c r="L41" s="1438"/>
      <c r="M41" s="1438"/>
      <c r="N41" s="1438"/>
      <c r="O41" s="1438"/>
      <c r="P41" s="1438"/>
      <c r="Q41" s="1439"/>
    </row>
    <row r="42" spans="1:17">
      <c r="B42" s="355" t="s">
        <v>777</v>
      </c>
      <c r="C42" s="355"/>
      <c r="D42" s="355"/>
      <c r="E42" s="476"/>
      <c r="F42" s="476"/>
      <c r="G42" s="476"/>
      <c r="H42" s="476" t="s">
        <v>641</v>
      </c>
      <c r="I42" s="476"/>
    </row>
    <row r="43" spans="1:17">
      <c r="B43" s="355"/>
      <c r="C43" s="355"/>
      <c r="D43" s="355"/>
      <c r="E43" s="475"/>
      <c r="F43" s="475"/>
      <c r="G43" s="475"/>
      <c r="H43" s="475"/>
      <c r="I43" s="475"/>
    </row>
  </sheetData>
  <mergeCells count="42">
    <mergeCell ref="A41:I41"/>
    <mergeCell ref="K41:Q41"/>
    <mergeCell ref="K14:M14"/>
    <mergeCell ref="J13:M13"/>
    <mergeCell ref="P13:P15"/>
    <mergeCell ref="F14:F15"/>
    <mergeCell ref="F13:I13"/>
    <mergeCell ref="G14:I14"/>
    <mergeCell ref="O13:O15"/>
    <mergeCell ref="N13:N15"/>
    <mergeCell ref="J8:K8"/>
    <mergeCell ref="J9:K9"/>
    <mergeCell ref="A31:I31"/>
    <mergeCell ref="A32:I32"/>
    <mergeCell ref="A33:I33"/>
    <mergeCell ref="A25:I25"/>
    <mergeCell ref="A26:I26"/>
    <mergeCell ref="A27:I27"/>
    <mergeCell ref="A28:I28"/>
    <mergeCell ref="A29:I29"/>
    <mergeCell ref="A30:I30"/>
    <mergeCell ref="A20:Q20"/>
    <mergeCell ref="A21:I21"/>
    <mergeCell ref="A22:I22"/>
    <mergeCell ref="A23:I23"/>
    <mergeCell ref="A24:I24"/>
    <mergeCell ref="J10:K10"/>
    <mergeCell ref="A37:I37"/>
    <mergeCell ref="A38:I38"/>
    <mergeCell ref="A39:I39"/>
    <mergeCell ref="A40:I40"/>
    <mergeCell ref="A34:I34"/>
    <mergeCell ref="A35:I35"/>
    <mergeCell ref="A36:I36"/>
    <mergeCell ref="A13:A15"/>
    <mergeCell ref="C13:C15"/>
    <mergeCell ref="D13:D15"/>
    <mergeCell ref="E13:E15"/>
    <mergeCell ref="B13:B15"/>
    <mergeCell ref="A17:Q17"/>
    <mergeCell ref="Q13:Q15"/>
    <mergeCell ref="J14:J15"/>
  </mergeCells>
  <pageMargins left="0.31496062992125984" right="0.31496062992125984" top="0" bottom="0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51"/>
  <sheetViews>
    <sheetView workbookViewId="0">
      <selection activeCell="A5" sqref="A5"/>
    </sheetView>
  </sheetViews>
  <sheetFormatPr defaultRowHeight="15"/>
  <cols>
    <col min="1" max="1" width="17.5703125" customWidth="1"/>
    <col min="2" max="2" width="6.85546875" customWidth="1"/>
    <col min="3" max="3" width="8.140625" customWidth="1"/>
    <col min="4" max="4" width="7.7109375" customWidth="1"/>
    <col min="5" max="5" width="8.42578125" customWidth="1"/>
    <col min="6" max="6" width="9.85546875" customWidth="1"/>
    <col min="7" max="7" width="10.42578125" customWidth="1"/>
    <col min="8" max="8" width="9.85546875" customWidth="1"/>
    <col min="9" max="9" width="12" customWidth="1"/>
  </cols>
  <sheetData>
    <row r="1" spans="1:9">
      <c r="A1" s="355" t="s">
        <v>1090</v>
      </c>
    </row>
    <row r="2" spans="1:9">
      <c r="A2" s="978"/>
      <c r="B2" s="978"/>
      <c r="C2" s="978"/>
      <c r="D2" s="978"/>
      <c r="E2" s="979"/>
      <c r="F2" s="979"/>
      <c r="G2" s="980"/>
      <c r="H2" s="980"/>
      <c r="I2" s="980"/>
    </row>
    <row r="3" spans="1:9">
      <c r="A3" s="1118" t="s">
        <v>981</v>
      </c>
      <c r="B3" s="1118"/>
      <c r="C3" s="1118"/>
      <c r="D3" s="1118"/>
      <c r="E3" s="1118"/>
      <c r="F3" s="1118"/>
      <c r="G3" s="1118"/>
      <c r="H3" s="1118"/>
      <c r="I3" s="1118"/>
    </row>
    <row r="4" spans="1:9">
      <c r="A4" s="1118" t="s">
        <v>1050</v>
      </c>
      <c r="B4" s="1118"/>
      <c r="C4" s="1118"/>
      <c r="D4" s="1118"/>
      <c r="E4" s="1118"/>
      <c r="F4" s="1118"/>
      <c r="G4" s="1118"/>
      <c r="H4" s="1118"/>
      <c r="I4" s="1118"/>
    </row>
    <row r="5" spans="1:9">
      <c r="A5" s="1464" t="s">
        <v>1089</v>
      </c>
      <c r="B5" s="981"/>
      <c r="C5" s="981"/>
      <c r="D5" s="981"/>
      <c r="E5" s="981"/>
      <c r="F5" s="981"/>
      <c r="G5" s="981"/>
      <c r="H5" s="981"/>
      <c r="I5" s="981"/>
    </row>
    <row r="6" spans="1:9" ht="15.75" thickBot="1">
      <c r="A6" s="978"/>
      <c r="B6" s="978"/>
      <c r="C6" s="978"/>
      <c r="D6" s="978"/>
      <c r="E6" s="979"/>
      <c r="F6" s="979"/>
      <c r="G6" s="978"/>
      <c r="H6" s="978"/>
      <c r="I6" s="979"/>
    </row>
    <row r="7" spans="1:9" ht="25.5" customHeight="1" thickBot="1">
      <c r="A7" s="1119" t="s">
        <v>984</v>
      </c>
      <c r="B7" s="1122" t="s">
        <v>243</v>
      </c>
      <c r="C7" s="1125" t="s">
        <v>97</v>
      </c>
      <c r="D7" s="1126"/>
      <c r="E7" s="1125" t="s">
        <v>985</v>
      </c>
      <c r="F7" s="1126"/>
      <c r="G7" s="1129" t="s">
        <v>812</v>
      </c>
      <c r="H7" s="1132" t="s">
        <v>986</v>
      </c>
      <c r="I7" s="1133"/>
    </row>
    <row r="8" spans="1:9" ht="21.75" customHeight="1" thickBot="1">
      <c r="A8" s="1120"/>
      <c r="B8" s="1123"/>
      <c r="C8" s="1127"/>
      <c r="D8" s="1128"/>
      <c r="E8" s="1127"/>
      <c r="F8" s="1128"/>
      <c r="G8" s="1130"/>
      <c r="H8" s="982">
        <v>183</v>
      </c>
      <c r="I8" s="983">
        <v>182</v>
      </c>
    </row>
    <row r="9" spans="1:9" ht="20.25" customHeight="1" thickBot="1">
      <c r="A9" s="1121"/>
      <c r="B9" s="1124"/>
      <c r="C9" s="983" t="s">
        <v>987</v>
      </c>
      <c r="D9" s="983" t="s">
        <v>988</v>
      </c>
      <c r="E9" s="983" t="s">
        <v>987</v>
      </c>
      <c r="F9" s="983" t="s">
        <v>988</v>
      </c>
      <c r="G9" s="1131"/>
      <c r="H9" s="983" t="s">
        <v>987</v>
      </c>
      <c r="I9" s="983" t="s">
        <v>988</v>
      </c>
    </row>
    <row r="10" spans="1:9" ht="36.75" customHeight="1">
      <c r="A10" s="984" t="s">
        <v>1039</v>
      </c>
      <c r="B10" s="984"/>
      <c r="C10" s="984"/>
      <c r="D10" s="984"/>
      <c r="E10" s="985"/>
      <c r="F10" s="985"/>
      <c r="G10" s="986">
        <f>H10+I10</f>
        <v>2721905.4600000004</v>
      </c>
      <c r="H10" s="986">
        <f>H11+H12+H13+H14+H16+H18+H19+H20+H21+H22</f>
        <v>2250391.1400000006</v>
      </c>
      <c r="I10" s="986">
        <f>I12+I13+I14</f>
        <v>471514.32</v>
      </c>
    </row>
    <row r="11" spans="1:9" ht="36">
      <c r="A11" s="936" t="s">
        <v>1044</v>
      </c>
      <c r="B11" s="937" t="s">
        <v>470</v>
      </c>
      <c r="C11" s="938">
        <f>77586</f>
        <v>77586</v>
      </c>
      <c r="D11" s="938"/>
      <c r="E11" s="939">
        <f>H11/C11</f>
        <v>14.945317454179877</v>
      </c>
      <c r="F11" s="938"/>
      <c r="G11" s="940">
        <f>H11+I11</f>
        <v>1159547.3999999999</v>
      </c>
      <c r="H11" s="940">
        <f>ROUND('с 21.12.2013-20.12.2014'!E14,2)</f>
        <v>1159547.3999999999</v>
      </c>
      <c r="I11" s="940"/>
    </row>
    <row r="12" spans="1:9" ht="25.5" customHeight="1">
      <c r="A12" s="936" t="s">
        <v>991</v>
      </c>
      <c r="B12" s="937" t="s">
        <v>470</v>
      </c>
      <c r="C12" s="938">
        <f>11011.86+610+790</f>
        <v>12411.86</v>
      </c>
      <c r="D12" s="938">
        <f>789+8852+230</f>
        <v>9871</v>
      </c>
      <c r="E12" s="939">
        <f t="shared" ref="E12:E22" si="0">H12/C12</f>
        <v>29.644133111395067</v>
      </c>
      <c r="F12" s="938">
        <f t="shared" ref="F12:F14" si="1">I12/D12</f>
        <v>29.487618275757271</v>
      </c>
      <c r="G12" s="940">
        <f>H12+I12</f>
        <v>659011.1100000001</v>
      </c>
      <c r="H12" s="940">
        <f>ROUND('с 21.12.2013-20.12.2014'!Q14+'с 21.12.2013-20.12.2014'!S14,2)</f>
        <v>367938.83</v>
      </c>
      <c r="I12" s="940">
        <f>ROUND('с 21.12.2013-20.12.2014'!K14+'с 21.12.2013-20.12.2014'!M14+'с 21.12.2013-20.12.2014'!O14+'с 21.12.2013-20.12.2014'!F14,2)</f>
        <v>291072.28000000003</v>
      </c>
    </row>
    <row r="13" spans="1:9">
      <c r="A13" s="936" t="s">
        <v>992</v>
      </c>
      <c r="B13" s="937" t="s">
        <v>25</v>
      </c>
      <c r="C13" s="938">
        <v>92</v>
      </c>
      <c r="D13" s="938">
        <v>92</v>
      </c>
      <c r="E13" s="939">
        <f t="shared" si="0"/>
        <v>1918.4467391304349</v>
      </c>
      <c r="F13" s="938">
        <f t="shared" si="1"/>
        <v>1691.190108695652</v>
      </c>
      <c r="G13" s="940">
        <f>H13+I13</f>
        <v>332086.58999999997</v>
      </c>
      <c r="H13" s="940">
        <f>ROUND('с 21.12.2013-20.12.2014'!U14+'с 21.12.2013-20.12.2014'!V14,2)</f>
        <v>176497.1</v>
      </c>
      <c r="I13" s="940">
        <f>ROUND('с 21.12.2013-20.12.2014'!X14,2)</f>
        <v>155589.49</v>
      </c>
    </row>
    <row r="14" spans="1:9">
      <c r="A14" s="936" t="s">
        <v>993</v>
      </c>
      <c r="B14" s="937" t="s">
        <v>25</v>
      </c>
      <c r="C14" s="938">
        <v>98</v>
      </c>
      <c r="D14" s="938">
        <v>98</v>
      </c>
      <c r="E14" s="939">
        <f t="shared" si="0"/>
        <v>269.7</v>
      </c>
      <c r="F14" s="938">
        <f t="shared" si="1"/>
        <v>253.59744897959183</v>
      </c>
      <c r="G14" s="940">
        <f>H14+I14</f>
        <v>51283.149999999994</v>
      </c>
      <c r="H14" s="940">
        <f>ROUND('с 21.12.2013-20.12.2014'!Z14,2)</f>
        <v>26430.6</v>
      </c>
      <c r="I14" s="940">
        <f>ROUND('с 21.12.2013-20.12.2014'!AB14,2)</f>
        <v>24852.55</v>
      </c>
    </row>
    <row r="15" spans="1:9" ht="18" customHeight="1">
      <c r="A15" s="936" t="s">
        <v>994</v>
      </c>
      <c r="B15" s="937"/>
      <c r="C15" s="937"/>
      <c r="D15" s="937"/>
      <c r="E15" s="939"/>
      <c r="F15" s="938"/>
      <c r="G15" s="940"/>
      <c r="H15" s="940"/>
      <c r="I15" s="940"/>
    </row>
    <row r="16" spans="1:9" ht="19.5" customHeight="1">
      <c r="A16" s="936" t="s">
        <v>995</v>
      </c>
      <c r="B16" s="937" t="s">
        <v>470</v>
      </c>
      <c r="C16" s="938">
        <f>677+3.12</f>
        <v>680.12</v>
      </c>
      <c r="D16" s="937"/>
      <c r="E16" s="939">
        <f t="shared" si="0"/>
        <v>560.37919778862545</v>
      </c>
      <c r="F16" s="938"/>
      <c r="G16" s="940">
        <f>H16+I16</f>
        <v>381125.1</v>
      </c>
      <c r="H16" s="940">
        <f>ROUND('с 21.12.2013-20.12.2014'!AD14+'с 21.12.2013-20.12.2014'!AF14,2)</f>
        <v>381125.1</v>
      </c>
      <c r="I16" s="940">
        <v>0</v>
      </c>
    </row>
    <row r="17" spans="1:9" ht="20.25" hidden="1" customHeight="1">
      <c r="A17" s="936" t="s">
        <v>996</v>
      </c>
      <c r="B17" s="937" t="s">
        <v>470</v>
      </c>
      <c r="C17" s="938">
        <f>'[1]Аукцион '!AK26</f>
        <v>0</v>
      </c>
      <c r="D17" s="937"/>
      <c r="E17" s="939" t="e">
        <f t="shared" si="0"/>
        <v>#DIV/0!</v>
      </c>
      <c r="F17" s="938"/>
      <c r="G17" s="940">
        <f>H17+I17</f>
        <v>0</v>
      </c>
      <c r="H17" s="940">
        <f>'[1]Аукцион '!AL26</f>
        <v>0</v>
      </c>
      <c r="I17" s="940">
        <v>0</v>
      </c>
    </row>
    <row r="18" spans="1:9" ht="24">
      <c r="A18" s="936" t="s">
        <v>998</v>
      </c>
      <c r="B18" s="937" t="s">
        <v>999</v>
      </c>
      <c r="C18" s="938">
        <f>908</f>
        <v>908</v>
      </c>
      <c r="D18" s="937"/>
      <c r="E18" s="939">
        <f t="shared" si="0"/>
        <v>137.0089757709251</v>
      </c>
      <c r="F18" s="938"/>
      <c r="G18" s="940">
        <f>H18+I18</f>
        <v>124404.15</v>
      </c>
      <c r="H18" s="940">
        <f>ROUND('с 21.12.2013-20.12.2014'!AL14,2)</f>
        <v>124404.15</v>
      </c>
      <c r="I18" s="940">
        <v>0</v>
      </c>
    </row>
    <row r="19" spans="1:9">
      <c r="A19" s="936" t="s">
        <v>1040</v>
      </c>
      <c r="B19" s="937" t="s">
        <v>470</v>
      </c>
      <c r="C19" s="938">
        <v>102</v>
      </c>
      <c r="D19" s="938">
        <f>'[1]Аукцион '!AS26</f>
        <v>0</v>
      </c>
      <c r="E19" s="939">
        <f t="shared" si="0"/>
        <v>47.920882352941177</v>
      </c>
      <c r="F19" s="938"/>
      <c r="G19" s="940">
        <f>H19+I19</f>
        <v>4887.93</v>
      </c>
      <c r="H19" s="940">
        <f>ROUND('с 21.12.2013-20.12.2014'!AZ14,2)</f>
        <v>4887.93</v>
      </c>
      <c r="I19" s="940">
        <f>'[1]Аукцион '!AT26</f>
        <v>0</v>
      </c>
    </row>
    <row r="20" spans="1:9">
      <c r="A20" s="936" t="s">
        <v>1001</v>
      </c>
      <c r="B20" s="937" t="s">
        <v>1002</v>
      </c>
      <c r="C20" s="937">
        <v>35</v>
      </c>
      <c r="D20" s="937"/>
      <c r="E20" s="939">
        <f t="shared" si="0"/>
        <v>51.93485714285714</v>
      </c>
      <c r="F20" s="938"/>
      <c r="G20" s="940">
        <f t="shared" ref="G20:G22" si="2">H20+I20</f>
        <v>1817.72</v>
      </c>
      <c r="H20" s="940">
        <f>ROUND('с 21.12.2013-20.12.2014'!BB14,2)</f>
        <v>1817.72</v>
      </c>
      <c r="I20" s="941"/>
    </row>
    <row r="21" spans="1:9" ht="24">
      <c r="A21" s="936" t="s">
        <v>1003</v>
      </c>
      <c r="B21" s="937" t="s">
        <v>1002</v>
      </c>
      <c r="C21" s="937">
        <v>71</v>
      </c>
      <c r="D21" s="937"/>
      <c r="E21" s="939">
        <f t="shared" si="0"/>
        <v>69.266619718309869</v>
      </c>
      <c r="F21" s="938"/>
      <c r="G21" s="940">
        <f t="shared" si="2"/>
        <v>4917.93</v>
      </c>
      <c r="H21" s="940">
        <f>ROUND('с 21.12.2013-20.12.2014'!AJ14,2)</f>
        <v>4917.93</v>
      </c>
      <c r="I21" s="941"/>
    </row>
    <row r="22" spans="1:9" ht="36">
      <c r="A22" s="936" t="s">
        <v>1041</v>
      </c>
      <c r="B22" s="937" t="s">
        <v>470</v>
      </c>
      <c r="C22" s="937">
        <v>34</v>
      </c>
      <c r="D22" s="937"/>
      <c r="E22" s="939">
        <f t="shared" si="0"/>
        <v>83.070000000000007</v>
      </c>
      <c r="F22" s="938"/>
      <c r="G22" s="940">
        <f t="shared" si="2"/>
        <v>2824.38</v>
      </c>
      <c r="H22" s="941">
        <f>ROUND('с 21.12.2013-20.12.2014'!AV14,2)</f>
        <v>2824.38</v>
      </c>
      <c r="I22" s="941"/>
    </row>
    <row r="23" spans="1:9" ht="24">
      <c r="A23" s="987" t="s">
        <v>1042</v>
      </c>
      <c r="B23" s="987"/>
      <c r="C23" s="987"/>
      <c r="D23" s="987"/>
      <c r="E23" s="988"/>
      <c r="F23" s="989"/>
      <c r="G23" s="990">
        <f>H23+I23</f>
        <v>271951.72000000003</v>
      </c>
      <c r="H23" s="990">
        <f>H24+H25+H26+H27+H29+H30+H31+H32</f>
        <v>261147.13</v>
      </c>
      <c r="I23" s="990">
        <f>I24+I25+I26+I27+I29+I30+I31+I32</f>
        <v>10804.59</v>
      </c>
    </row>
    <row r="24" spans="1:9">
      <c r="A24" s="936" t="s">
        <v>1047</v>
      </c>
      <c r="B24" s="937" t="s">
        <v>470</v>
      </c>
      <c r="C24" s="1073">
        <v>152000</v>
      </c>
      <c r="D24" s="937"/>
      <c r="E24" s="939">
        <f>H24/C24</f>
        <v>1.7178561184210526</v>
      </c>
      <c r="F24" s="938"/>
      <c r="G24" s="940">
        <f>H24+I24</f>
        <v>261114.13</v>
      </c>
      <c r="H24" s="940">
        <f>ROUND([2]Расчет!$J$25,2)</f>
        <v>261114.13</v>
      </c>
      <c r="I24" s="940">
        <v>0</v>
      </c>
    </row>
    <row r="25" spans="1:9">
      <c r="A25" s="936" t="s">
        <v>1043</v>
      </c>
      <c r="B25" s="937" t="s">
        <v>470</v>
      </c>
      <c r="C25" s="938">
        <v>0</v>
      </c>
      <c r="D25" s="938">
        <f>45.4+13.5</f>
        <v>58.9</v>
      </c>
      <c r="E25" s="939"/>
      <c r="F25" s="938">
        <f>I25/D25</f>
        <v>183.43955857385399</v>
      </c>
      <c r="G25" s="940">
        <f>H25+I25</f>
        <v>10804.59</v>
      </c>
      <c r="H25" s="940">
        <v>0</v>
      </c>
      <c r="I25" s="940">
        <f>ROUND([2]Расчет!$J$32,2)</f>
        <v>10804.59</v>
      </c>
    </row>
    <row r="26" spans="1:9" hidden="1">
      <c r="A26" s="936" t="s">
        <v>992</v>
      </c>
      <c r="B26" s="937" t="s">
        <v>25</v>
      </c>
      <c r="C26" s="938">
        <v>0</v>
      </c>
      <c r="D26" s="938">
        <v>13.5</v>
      </c>
      <c r="E26" s="939" t="e">
        <f>H26/C26</f>
        <v>#DIV/0!</v>
      </c>
      <c r="F26" s="938">
        <f>I26/D26</f>
        <v>0</v>
      </c>
      <c r="G26" s="940"/>
      <c r="H26" s="940"/>
      <c r="I26" s="940"/>
    </row>
    <row r="27" spans="1:9" hidden="1">
      <c r="A27" s="936" t="s">
        <v>993</v>
      </c>
      <c r="B27" s="937" t="s">
        <v>25</v>
      </c>
      <c r="C27" s="938">
        <v>0</v>
      </c>
      <c r="D27" s="938">
        <f>'[1]Аукцион '!AA28</f>
        <v>6742.5</v>
      </c>
      <c r="E27" s="939" t="e">
        <f>H27/C27</f>
        <v>#DIV/0!</v>
      </c>
      <c r="F27" s="938">
        <f>I27/D27</f>
        <v>0</v>
      </c>
      <c r="G27" s="940"/>
      <c r="H27" s="940"/>
      <c r="I27" s="940"/>
    </row>
    <row r="28" spans="1:9" hidden="1">
      <c r="A28" s="936" t="s">
        <v>994</v>
      </c>
      <c r="B28" s="937"/>
      <c r="C28" s="937"/>
      <c r="D28" s="937"/>
      <c r="E28" s="939"/>
      <c r="F28" s="938"/>
      <c r="G28" s="940"/>
      <c r="H28" s="940"/>
      <c r="I28" s="940"/>
    </row>
    <row r="29" spans="1:9" hidden="1">
      <c r="A29" s="937" t="s">
        <v>995</v>
      </c>
      <c r="B29" s="937" t="s">
        <v>470</v>
      </c>
      <c r="C29" s="938">
        <v>0</v>
      </c>
      <c r="D29" s="937"/>
      <c r="E29" s="939" t="e">
        <f>H29/C29</f>
        <v>#DIV/0!</v>
      </c>
      <c r="F29" s="938"/>
      <c r="G29" s="940"/>
      <c r="H29" s="940"/>
      <c r="I29" s="940"/>
    </row>
    <row r="30" spans="1:9" hidden="1">
      <c r="A30" s="936" t="s">
        <v>1005</v>
      </c>
      <c r="B30" s="937" t="s">
        <v>25</v>
      </c>
      <c r="C30" s="938">
        <v>0</v>
      </c>
      <c r="D30" s="937"/>
      <c r="E30" s="939" t="e">
        <f>H30/C30</f>
        <v>#DIV/0!</v>
      </c>
      <c r="F30" s="938"/>
      <c r="G30" s="940"/>
      <c r="H30" s="940"/>
      <c r="I30" s="940"/>
    </row>
    <row r="31" spans="1:9" ht="24" hidden="1">
      <c r="A31" s="936" t="s">
        <v>998</v>
      </c>
      <c r="B31" s="937" t="s">
        <v>999</v>
      </c>
      <c r="C31" s="938">
        <f>'[1]Аукцион '!AQ28</f>
        <v>72203.740000000005</v>
      </c>
      <c r="D31" s="937"/>
      <c r="E31" s="939">
        <f>H31/C31</f>
        <v>0</v>
      </c>
      <c r="F31" s="938"/>
      <c r="G31" s="940"/>
      <c r="H31" s="940"/>
      <c r="I31" s="940"/>
    </row>
    <row r="32" spans="1:9" hidden="1">
      <c r="A32" s="936" t="s">
        <v>1006</v>
      </c>
      <c r="B32" s="937" t="s">
        <v>25</v>
      </c>
      <c r="C32" s="938">
        <f>'[1]Аукцион '!AU28</f>
        <v>0</v>
      </c>
      <c r="D32" s="937"/>
      <c r="E32" s="939" t="e">
        <f>H32/C32</f>
        <v>#DIV/0!</v>
      </c>
      <c r="F32" s="938"/>
      <c r="G32" s="940">
        <f>H32+I32</f>
        <v>33</v>
      </c>
      <c r="H32" s="940">
        <f>'[1]Аукцион '!AV28</f>
        <v>33</v>
      </c>
      <c r="I32" s="940">
        <v>0</v>
      </c>
    </row>
    <row r="33" spans="1:9" hidden="1">
      <c r="A33" s="936"/>
      <c r="B33" s="937"/>
      <c r="C33" s="937"/>
      <c r="D33" s="937"/>
      <c r="E33" s="939"/>
      <c r="F33" s="938"/>
      <c r="G33" s="940">
        <f>SUM(G24:G32)</f>
        <v>271951.72000000003</v>
      </c>
      <c r="H33" s="941">
        <f>H24+H25+H26+H27+H29+H30+H31+H32</f>
        <v>261147.13</v>
      </c>
      <c r="I33" s="941">
        <f>I26+I25+I27</f>
        <v>10804.59</v>
      </c>
    </row>
    <row r="34" spans="1:9">
      <c r="A34" s="987" t="s">
        <v>1046</v>
      </c>
      <c r="B34" s="987"/>
      <c r="C34" s="987"/>
      <c r="D34" s="987"/>
      <c r="E34" s="988"/>
      <c r="F34" s="989"/>
      <c r="G34" s="990">
        <f>H34+I34</f>
        <v>444764.39</v>
      </c>
      <c r="H34" s="990">
        <f>H35+H36+H37+H38+H40+H41+H42+H43+H44</f>
        <v>444764.39</v>
      </c>
      <c r="I34" s="990">
        <f>I35+I36+I37+I38</f>
        <v>0</v>
      </c>
    </row>
    <row r="35" spans="1:9" ht="15.75" thickBot="1">
      <c r="A35" s="936" t="s">
        <v>1045</v>
      </c>
      <c r="B35" s="937" t="s">
        <v>470</v>
      </c>
      <c r="C35" s="1073">
        <v>360000</v>
      </c>
      <c r="D35" s="937"/>
      <c r="E35" s="939">
        <f>H35/C35</f>
        <v>1.235456638888889</v>
      </c>
      <c r="F35" s="938"/>
      <c r="G35" s="940">
        <f>H35+I35</f>
        <v>444764.39</v>
      </c>
      <c r="H35" s="940">
        <f>ROUND([3]Расчет!$J$27,2)</f>
        <v>444764.39</v>
      </c>
      <c r="I35" s="940"/>
    </row>
    <row r="36" spans="1:9" hidden="1">
      <c r="A36" s="936" t="s">
        <v>991</v>
      </c>
      <c r="B36" s="937"/>
      <c r="C36" s="938"/>
      <c r="D36" s="938"/>
      <c r="E36" s="939"/>
      <c r="F36" s="938"/>
      <c r="G36" s="940"/>
      <c r="H36" s="940"/>
      <c r="I36" s="940"/>
    </row>
    <row r="37" spans="1:9" hidden="1">
      <c r="A37" s="936" t="s">
        <v>992</v>
      </c>
      <c r="B37" s="937"/>
      <c r="C37" s="938"/>
      <c r="D37" s="938"/>
      <c r="E37" s="939"/>
      <c r="F37" s="938"/>
      <c r="G37" s="940"/>
      <c r="H37" s="940"/>
      <c r="I37" s="940"/>
    </row>
    <row r="38" spans="1:9" hidden="1">
      <c r="A38" s="936" t="s">
        <v>993</v>
      </c>
      <c r="B38" s="937"/>
      <c r="C38" s="938"/>
      <c r="D38" s="938"/>
      <c r="E38" s="939"/>
      <c r="F38" s="938"/>
      <c r="G38" s="940"/>
      <c r="H38" s="940"/>
      <c r="I38" s="940"/>
    </row>
    <row r="39" spans="1:9" hidden="1">
      <c r="A39" s="936" t="s">
        <v>994</v>
      </c>
      <c r="B39" s="937"/>
      <c r="C39" s="937"/>
      <c r="D39" s="937"/>
      <c r="E39" s="939"/>
      <c r="F39" s="938"/>
      <c r="G39" s="940"/>
      <c r="H39" s="940"/>
      <c r="I39" s="940"/>
    </row>
    <row r="40" spans="1:9" hidden="1">
      <c r="A40" s="937" t="s">
        <v>995</v>
      </c>
      <c r="B40" s="937"/>
      <c r="C40" s="938"/>
      <c r="D40" s="937"/>
      <c r="E40" s="939"/>
      <c r="F40" s="938"/>
      <c r="G40" s="940"/>
      <c r="H40" s="940"/>
      <c r="I40" s="940"/>
    </row>
    <row r="41" spans="1:9" hidden="1">
      <c r="A41" s="937" t="s">
        <v>996</v>
      </c>
      <c r="B41" s="937"/>
      <c r="C41" s="938"/>
      <c r="D41" s="937"/>
      <c r="E41" s="939"/>
      <c r="F41" s="938"/>
      <c r="G41" s="940"/>
      <c r="H41" s="940"/>
      <c r="I41" s="940"/>
    </row>
    <row r="42" spans="1:9" hidden="1">
      <c r="A42" s="936" t="s">
        <v>1005</v>
      </c>
      <c r="B42" s="937"/>
      <c r="C42" s="938"/>
      <c r="D42" s="937"/>
      <c r="E42" s="939"/>
      <c r="F42" s="938"/>
      <c r="G42" s="940"/>
      <c r="H42" s="940"/>
      <c r="I42" s="940"/>
    </row>
    <row r="43" spans="1:9" ht="24" hidden="1">
      <c r="A43" s="936" t="s">
        <v>1008</v>
      </c>
      <c r="B43" s="937"/>
      <c r="C43" s="938"/>
      <c r="D43" s="937"/>
      <c r="E43" s="939"/>
      <c r="F43" s="938"/>
      <c r="G43" s="940"/>
      <c r="H43" s="940"/>
      <c r="I43" s="940"/>
    </row>
    <row r="44" spans="1:9" hidden="1">
      <c r="A44" s="936" t="s">
        <v>1006</v>
      </c>
      <c r="B44" s="937"/>
      <c r="C44" s="938"/>
      <c r="D44" s="937"/>
      <c r="E44" s="939"/>
      <c r="F44" s="938"/>
      <c r="G44" s="940"/>
      <c r="H44" s="940"/>
      <c r="I44" s="940"/>
    </row>
    <row r="45" spans="1:9" hidden="1">
      <c r="A45" s="349"/>
      <c r="B45" s="349"/>
      <c r="C45" s="349"/>
      <c r="D45" s="349"/>
      <c r="E45" s="946"/>
      <c r="F45" s="947"/>
      <c r="G45" s="940"/>
      <c r="H45" s="941"/>
      <c r="I45" s="941"/>
    </row>
    <row r="46" spans="1:9" hidden="1">
      <c r="A46" s="987" t="s">
        <v>1009</v>
      </c>
      <c r="B46" s="987"/>
      <c r="C46" s="987"/>
      <c r="D46" s="987"/>
      <c r="E46" s="988"/>
      <c r="F46" s="989"/>
      <c r="G46" s="990"/>
      <c r="H46" s="990"/>
      <c r="I46" s="990"/>
    </row>
    <row r="47" spans="1:9" hidden="1">
      <c r="A47" s="936" t="s">
        <v>990</v>
      </c>
      <c r="B47" s="948"/>
      <c r="C47" s="947"/>
      <c r="D47" s="349"/>
      <c r="E47" s="946"/>
      <c r="F47" s="947"/>
      <c r="G47" s="940"/>
      <c r="H47" s="940"/>
      <c r="I47" s="940"/>
    </row>
    <row r="48" spans="1:9" ht="24" hidden="1">
      <c r="A48" s="936" t="s">
        <v>998</v>
      </c>
      <c r="B48" s="937"/>
      <c r="C48" s="947"/>
      <c r="D48" s="349"/>
      <c r="E48" s="946"/>
      <c r="F48" s="947"/>
      <c r="G48" s="940"/>
      <c r="H48" s="940"/>
      <c r="I48" s="940"/>
    </row>
    <row r="49" spans="1:9" hidden="1">
      <c r="A49" s="349"/>
      <c r="B49" s="349"/>
      <c r="C49" s="349"/>
      <c r="D49" s="349"/>
      <c r="E49" s="946"/>
      <c r="F49" s="947"/>
      <c r="G49" s="940"/>
      <c r="H49" s="941"/>
      <c r="I49" s="941"/>
    </row>
    <row r="50" spans="1:9" ht="36" hidden="1">
      <c r="A50" s="987" t="s">
        <v>1010</v>
      </c>
      <c r="B50" s="987"/>
      <c r="C50" s="987"/>
      <c r="D50" s="987"/>
      <c r="E50" s="988"/>
      <c r="F50" s="989"/>
      <c r="G50" s="990"/>
      <c r="H50" s="990"/>
      <c r="I50" s="990"/>
    </row>
    <row r="51" spans="1:9" hidden="1">
      <c r="A51" s="936" t="s">
        <v>990</v>
      </c>
      <c r="B51" s="937"/>
      <c r="C51" s="947"/>
      <c r="D51" s="349"/>
      <c r="E51" s="946"/>
      <c r="F51" s="947"/>
      <c r="G51" s="940"/>
      <c r="H51" s="940"/>
      <c r="I51" s="940"/>
    </row>
    <row r="52" spans="1:9" hidden="1">
      <c r="A52" s="936" t="s">
        <v>991</v>
      </c>
      <c r="B52" s="937"/>
      <c r="C52" s="947"/>
      <c r="D52" s="947"/>
      <c r="E52" s="946"/>
      <c r="F52" s="947"/>
      <c r="G52" s="940"/>
      <c r="H52" s="940"/>
      <c r="I52" s="940"/>
    </row>
    <row r="53" spans="1:9" hidden="1">
      <c r="A53" s="936" t="s">
        <v>994</v>
      </c>
      <c r="B53" s="349"/>
      <c r="C53" s="349"/>
      <c r="D53" s="349"/>
      <c r="E53" s="946"/>
      <c r="F53" s="947"/>
      <c r="G53" s="940"/>
      <c r="H53" s="940"/>
      <c r="I53" s="940"/>
    </row>
    <row r="54" spans="1:9" hidden="1">
      <c r="A54" s="937" t="s">
        <v>996</v>
      </c>
      <c r="B54" s="937"/>
      <c r="C54" s="947"/>
      <c r="D54" s="349"/>
      <c r="E54" s="946"/>
      <c r="F54" s="947"/>
      <c r="G54" s="940"/>
      <c r="H54" s="940"/>
      <c r="I54" s="940"/>
    </row>
    <row r="55" spans="1:9" ht="24" hidden="1">
      <c r="A55" s="937" t="s">
        <v>1011</v>
      </c>
      <c r="B55" s="937"/>
      <c r="C55" s="947"/>
      <c r="D55" s="349"/>
      <c r="E55" s="946"/>
      <c r="F55" s="947"/>
      <c r="G55" s="940"/>
      <c r="H55" s="940"/>
      <c r="I55" s="940"/>
    </row>
    <row r="56" spans="1:9" hidden="1">
      <c r="A56" s="936" t="s">
        <v>1005</v>
      </c>
      <c r="B56" s="937"/>
      <c r="C56" s="947"/>
      <c r="D56" s="349"/>
      <c r="E56" s="946"/>
      <c r="F56" s="947"/>
      <c r="G56" s="940"/>
      <c r="H56" s="940"/>
      <c r="I56" s="940"/>
    </row>
    <row r="57" spans="1:9" ht="24" hidden="1">
      <c r="A57" s="936" t="s">
        <v>998</v>
      </c>
      <c r="B57" s="937"/>
      <c r="C57" s="947"/>
      <c r="D57" s="349"/>
      <c r="E57" s="946"/>
      <c r="F57" s="947"/>
      <c r="G57" s="940"/>
      <c r="H57" s="940"/>
      <c r="I57" s="940"/>
    </row>
    <row r="58" spans="1:9" hidden="1">
      <c r="A58" s="349"/>
      <c r="B58" s="349"/>
      <c r="C58" s="349"/>
      <c r="D58" s="349"/>
      <c r="E58" s="946"/>
      <c r="F58" s="947"/>
      <c r="G58" s="940"/>
      <c r="H58" s="941"/>
      <c r="I58" s="941"/>
    </row>
    <row r="59" spans="1:9" ht="48" hidden="1">
      <c r="A59" s="987" t="s">
        <v>1012</v>
      </c>
      <c r="B59" s="987"/>
      <c r="C59" s="987"/>
      <c r="D59" s="987"/>
      <c r="E59" s="988"/>
      <c r="F59" s="989"/>
      <c r="G59" s="990"/>
      <c r="H59" s="990"/>
      <c r="I59" s="990"/>
    </row>
    <row r="60" spans="1:9" hidden="1">
      <c r="A60" s="936" t="s">
        <v>990</v>
      </c>
      <c r="B60" s="937"/>
      <c r="C60" s="947"/>
      <c r="D60" s="349"/>
      <c r="E60" s="946"/>
      <c r="F60" s="947"/>
      <c r="G60" s="940"/>
      <c r="H60" s="940"/>
      <c r="I60" s="940"/>
    </row>
    <row r="61" spans="1:9" hidden="1">
      <c r="A61" s="936" t="s">
        <v>992</v>
      </c>
      <c r="B61" s="937"/>
      <c r="C61" s="947"/>
      <c r="D61" s="947"/>
      <c r="E61" s="946"/>
      <c r="F61" s="947"/>
      <c r="G61" s="940"/>
      <c r="H61" s="940"/>
      <c r="I61" s="940"/>
    </row>
    <row r="62" spans="1:9" hidden="1">
      <c r="A62" s="936" t="s">
        <v>1005</v>
      </c>
      <c r="B62" s="937"/>
      <c r="C62" s="947"/>
      <c r="D62" s="349"/>
      <c r="E62" s="946"/>
      <c r="F62" s="947"/>
      <c r="G62" s="940"/>
      <c r="H62" s="940"/>
      <c r="I62" s="940"/>
    </row>
    <row r="63" spans="1:9" ht="24" hidden="1">
      <c r="A63" s="949" t="s">
        <v>998</v>
      </c>
      <c r="B63" s="937"/>
      <c r="C63" s="947"/>
      <c r="D63" s="349"/>
      <c r="E63" s="946"/>
      <c r="F63" s="947"/>
      <c r="G63" s="940"/>
      <c r="H63" s="940"/>
      <c r="I63" s="940"/>
    </row>
    <row r="64" spans="1:9" hidden="1">
      <c r="A64" s="349"/>
      <c r="B64" s="349"/>
      <c r="C64" s="349"/>
      <c r="D64" s="349"/>
      <c r="E64" s="946"/>
      <c r="F64" s="947"/>
      <c r="G64" s="940"/>
      <c r="H64" s="941"/>
      <c r="I64" s="941"/>
    </row>
    <row r="65" spans="1:9" ht="48" hidden="1">
      <c r="A65" s="987" t="s">
        <v>1013</v>
      </c>
      <c r="B65" s="987"/>
      <c r="C65" s="987"/>
      <c r="D65" s="987"/>
      <c r="E65" s="988"/>
      <c r="F65" s="989"/>
      <c r="G65" s="990"/>
      <c r="H65" s="990"/>
      <c r="I65" s="990"/>
    </row>
    <row r="66" spans="1:9" hidden="1">
      <c r="A66" s="936" t="s">
        <v>990</v>
      </c>
      <c r="B66" s="937"/>
      <c r="C66" s="947"/>
      <c r="D66" s="349"/>
      <c r="E66" s="946"/>
      <c r="F66" s="947"/>
      <c r="G66" s="940"/>
      <c r="H66" s="940"/>
      <c r="I66" s="940"/>
    </row>
    <row r="67" spans="1:9" hidden="1">
      <c r="A67" s="936" t="s">
        <v>994</v>
      </c>
      <c r="B67" s="937"/>
      <c r="C67" s="349"/>
      <c r="D67" s="349"/>
      <c r="E67" s="946"/>
      <c r="F67" s="947"/>
      <c r="G67" s="940"/>
      <c r="H67" s="940"/>
      <c r="I67" s="940"/>
    </row>
    <row r="68" spans="1:9" hidden="1">
      <c r="A68" s="937" t="s">
        <v>995</v>
      </c>
      <c r="B68" s="937"/>
      <c r="C68" s="947"/>
      <c r="D68" s="349"/>
      <c r="E68" s="946"/>
      <c r="F68" s="947"/>
      <c r="G68" s="940"/>
      <c r="H68" s="940"/>
      <c r="I68" s="940"/>
    </row>
    <row r="69" spans="1:9" hidden="1">
      <c r="A69" s="937" t="s">
        <v>996</v>
      </c>
      <c r="B69" s="937"/>
      <c r="C69" s="947"/>
      <c r="D69" s="349"/>
      <c r="E69" s="946"/>
      <c r="F69" s="947"/>
      <c r="G69" s="940"/>
      <c r="H69" s="940"/>
      <c r="I69" s="940"/>
    </row>
    <row r="70" spans="1:9" ht="24" hidden="1">
      <c r="A70" s="937" t="s">
        <v>1014</v>
      </c>
      <c r="B70" s="937"/>
      <c r="C70" s="947"/>
      <c r="D70" s="349"/>
      <c r="E70" s="946"/>
      <c r="F70" s="947"/>
      <c r="G70" s="940"/>
      <c r="H70" s="940"/>
      <c r="I70" s="940"/>
    </row>
    <row r="71" spans="1:9" ht="24" hidden="1">
      <c r="A71" s="936" t="s">
        <v>998</v>
      </c>
      <c r="B71" s="937"/>
      <c r="C71" s="947"/>
      <c r="D71" s="349"/>
      <c r="E71" s="946"/>
      <c r="F71" s="947"/>
      <c r="G71" s="940"/>
      <c r="H71" s="940"/>
      <c r="I71" s="940"/>
    </row>
    <row r="72" spans="1:9" hidden="1">
      <c r="A72" s="349"/>
      <c r="B72" s="349"/>
      <c r="C72" s="349"/>
      <c r="D72" s="349"/>
      <c r="E72" s="946"/>
      <c r="F72" s="947"/>
      <c r="G72" s="940"/>
      <c r="H72" s="941"/>
      <c r="I72" s="941"/>
    </row>
    <row r="73" spans="1:9" ht="48" hidden="1">
      <c r="A73" s="987" t="s">
        <v>1015</v>
      </c>
      <c r="B73" s="987"/>
      <c r="C73" s="987"/>
      <c r="D73" s="987"/>
      <c r="E73" s="988"/>
      <c r="F73" s="989"/>
      <c r="G73" s="990"/>
      <c r="H73" s="990"/>
      <c r="I73" s="990"/>
    </row>
    <row r="74" spans="1:9" hidden="1">
      <c r="A74" s="936" t="s">
        <v>990</v>
      </c>
      <c r="B74" s="937"/>
      <c r="C74" s="947"/>
      <c r="D74" s="349"/>
      <c r="E74" s="946"/>
      <c r="F74" s="947"/>
      <c r="G74" s="940"/>
      <c r="H74" s="940"/>
      <c r="I74" s="940"/>
    </row>
    <row r="75" spans="1:9" ht="24" hidden="1">
      <c r="A75" s="936" t="s">
        <v>1008</v>
      </c>
      <c r="B75" s="937"/>
      <c r="C75" s="947"/>
      <c r="D75" s="349"/>
      <c r="E75" s="946"/>
      <c r="F75" s="947"/>
      <c r="G75" s="940"/>
      <c r="H75" s="940"/>
      <c r="I75" s="940"/>
    </row>
    <row r="76" spans="1:9" hidden="1">
      <c r="A76" s="936" t="s">
        <v>1006</v>
      </c>
      <c r="B76" s="937"/>
      <c r="C76" s="947"/>
      <c r="D76" s="349"/>
      <c r="E76" s="946"/>
      <c r="F76" s="947"/>
      <c r="G76" s="940"/>
      <c r="H76" s="940"/>
      <c r="I76" s="940"/>
    </row>
    <row r="77" spans="1:9" hidden="1">
      <c r="A77" s="950" t="s">
        <v>1005</v>
      </c>
      <c r="B77" s="948"/>
      <c r="C77" s="349"/>
      <c r="D77" s="349"/>
      <c r="E77" s="946"/>
      <c r="F77" s="947"/>
      <c r="G77" s="940"/>
      <c r="H77" s="940"/>
      <c r="I77" s="940"/>
    </row>
    <row r="78" spans="1:9" hidden="1">
      <c r="A78" s="950"/>
      <c r="B78" s="349"/>
      <c r="C78" s="349"/>
      <c r="D78" s="349"/>
      <c r="E78" s="946"/>
      <c r="F78" s="947"/>
      <c r="G78" s="940"/>
      <c r="H78" s="941"/>
      <c r="I78" s="941"/>
    </row>
    <row r="79" spans="1:9" hidden="1">
      <c r="A79" s="987" t="s">
        <v>1016</v>
      </c>
      <c r="B79" s="987"/>
      <c r="C79" s="987"/>
      <c r="D79" s="987"/>
      <c r="E79" s="988"/>
      <c r="F79" s="989"/>
      <c r="G79" s="990"/>
      <c r="H79" s="990"/>
      <c r="I79" s="990"/>
    </row>
    <row r="80" spans="1:9" hidden="1">
      <c r="A80" s="936" t="s">
        <v>990</v>
      </c>
      <c r="B80" s="937"/>
      <c r="C80" s="947"/>
      <c r="D80" s="349"/>
      <c r="E80" s="946"/>
      <c r="F80" s="947"/>
      <c r="G80" s="940"/>
      <c r="H80" s="940"/>
      <c r="I80" s="940"/>
    </row>
    <row r="81" spans="1:9" hidden="1">
      <c r="A81" s="936" t="s">
        <v>991</v>
      </c>
      <c r="B81" s="937"/>
      <c r="C81" s="947"/>
      <c r="D81" s="349"/>
      <c r="E81" s="946"/>
      <c r="F81" s="947"/>
      <c r="G81" s="940"/>
      <c r="H81" s="940"/>
      <c r="I81" s="940"/>
    </row>
    <row r="82" spans="1:9" hidden="1">
      <c r="A82" s="936" t="s">
        <v>992</v>
      </c>
      <c r="B82" s="937"/>
      <c r="C82" s="947"/>
      <c r="D82" s="947"/>
      <c r="E82" s="946"/>
      <c r="F82" s="947"/>
      <c r="G82" s="940"/>
      <c r="H82" s="940"/>
      <c r="I82" s="940"/>
    </row>
    <row r="83" spans="1:9" hidden="1">
      <c r="A83" s="936" t="s">
        <v>994</v>
      </c>
      <c r="B83" s="937"/>
      <c r="C83" s="349"/>
      <c r="D83" s="349"/>
      <c r="E83" s="946"/>
      <c r="F83" s="947"/>
      <c r="G83" s="940"/>
      <c r="H83" s="940"/>
      <c r="I83" s="940"/>
    </row>
    <row r="84" spans="1:9" hidden="1">
      <c r="A84" s="937" t="s">
        <v>995</v>
      </c>
      <c r="B84" s="937"/>
      <c r="C84" s="947"/>
      <c r="D84" s="349"/>
      <c r="E84" s="946"/>
      <c r="F84" s="947"/>
      <c r="G84" s="940"/>
      <c r="H84" s="940"/>
      <c r="I84" s="940"/>
    </row>
    <row r="85" spans="1:9" hidden="1">
      <c r="A85" s="936" t="s">
        <v>1005</v>
      </c>
      <c r="B85" s="937"/>
      <c r="C85" s="947"/>
      <c r="D85" s="349"/>
      <c r="E85" s="946"/>
      <c r="F85" s="947"/>
      <c r="G85" s="940"/>
      <c r="H85" s="940"/>
      <c r="I85" s="940"/>
    </row>
    <row r="86" spans="1:9" ht="24" hidden="1">
      <c r="A86" s="936" t="s">
        <v>1008</v>
      </c>
      <c r="B86" s="937"/>
      <c r="C86" s="947"/>
      <c r="D86" s="349"/>
      <c r="E86" s="946"/>
      <c r="F86" s="947"/>
      <c r="G86" s="940"/>
      <c r="H86" s="940"/>
      <c r="I86" s="940"/>
    </row>
    <row r="87" spans="1:9" hidden="1">
      <c r="A87" s="937"/>
      <c r="B87" s="937"/>
      <c r="C87" s="349"/>
      <c r="D87" s="349"/>
      <c r="E87" s="946"/>
      <c r="F87" s="947"/>
      <c r="G87" s="940"/>
      <c r="H87" s="941"/>
      <c r="I87" s="941"/>
    </row>
    <row r="88" spans="1:9" ht="48" hidden="1">
      <c r="A88" s="987" t="s">
        <v>1017</v>
      </c>
      <c r="B88" s="991"/>
      <c r="C88" s="987"/>
      <c r="D88" s="987"/>
      <c r="E88" s="988"/>
      <c r="F88" s="989"/>
      <c r="G88" s="990"/>
      <c r="H88" s="990"/>
      <c r="I88" s="990"/>
    </row>
    <row r="89" spans="1:9" hidden="1">
      <c r="A89" s="936" t="s">
        <v>990</v>
      </c>
      <c r="B89" s="937"/>
      <c r="C89" s="947"/>
      <c r="D89" s="349"/>
      <c r="E89" s="946"/>
      <c r="F89" s="947"/>
      <c r="G89" s="940"/>
      <c r="H89" s="940"/>
      <c r="I89" s="940"/>
    </row>
    <row r="90" spans="1:9" hidden="1">
      <c r="A90" s="936" t="s">
        <v>994</v>
      </c>
      <c r="B90" s="937"/>
      <c r="C90" s="349"/>
      <c r="D90" s="349"/>
      <c r="E90" s="946"/>
      <c r="F90" s="947"/>
      <c r="G90" s="940"/>
      <c r="H90" s="940"/>
      <c r="I90" s="940"/>
    </row>
    <row r="91" spans="1:9" hidden="1">
      <c r="A91" s="937" t="s">
        <v>995</v>
      </c>
      <c r="B91" s="937"/>
      <c r="C91" s="947"/>
      <c r="D91" s="349"/>
      <c r="E91" s="946"/>
      <c r="F91" s="947"/>
      <c r="G91" s="940"/>
      <c r="H91" s="940"/>
      <c r="I91" s="940"/>
    </row>
    <row r="92" spans="1:9" hidden="1">
      <c r="A92" s="936" t="s">
        <v>1005</v>
      </c>
      <c r="B92" s="937"/>
      <c r="C92" s="947"/>
      <c r="D92" s="349"/>
      <c r="E92" s="946"/>
      <c r="F92" s="947"/>
      <c r="G92" s="940"/>
      <c r="H92" s="940"/>
      <c r="I92" s="940"/>
    </row>
    <row r="93" spans="1:9" hidden="1">
      <c r="A93" s="937"/>
      <c r="B93" s="937"/>
      <c r="C93" s="349"/>
      <c r="D93" s="349"/>
      <c r="E93" s="946"/>
      <c r="F93" s="947"/>
      <c r="G93" s="940"/>
      <c r="H93" s="941"/>
      <c r="I93" s="941"/>
    </row>
    <row r="94" spans="1:9" ht="60" hidden="1">
      <c r="A94" s="987" t="s">
        <v>1018</v>
      </c>
      <c r="B94" s="991"/>
      <c r="C94" s="987"/>
      <c r="D94" s="987"/>
      <c r="E94" s="988"/>
      <c r="F94" s="989"/>
      <c r="G94" s="990"/>
      <c r="H94" s="990"/>
      <c r="I94" s="990"/>
    </row>
    <row r="95" spans="1:9" hidden="1">
      <c r="A95" s="936" t="s">
        <v>990</v>
      </c>
      <c r="B95" s="937"/>
      <c r="C95" s="947"/>
      <c r="D95" s="349"/>
      <c r="E95" s="946"/>
      <c r="F95" s="947"/>
      <c r="G95" s="940"/>
      <c r="H95" s="940"/>
      <c r="I95" s="940"/>
    </row>
    <row r="96" spans="1:9" hidden="1">
      <c r="A96" s="936" t="s">
        <v>994</v>
      </c>
      <c r="B96" s="937"/>
      <c r="C96" s="349"/>
      <c r="D96" s="349"/>
      <c r="E96" s="946"/>
      <c r="F96" s="947"/>
      <c r="G96" s="940"/>
      <c r="H96" s="940"/>
      <c r="I96" s="940"/>
    </row>
    <row r="97" spans="1:9" hidden="1">
      <c r="A97" s="937" t="s">
        <v>995</v>
      </c>
      <c r="B97" s="937"/>
      <c r="C97" s="947"/>
      <c r="D97" s="349"/>
      <c r="E97" s="946"/>
      <c r="F97" s="947"/>
      <c r="G97" s="940"/>
      <c r="H97" s="940"/>
      <c r="I97" s="940"/>
    </row>
    <row r="98" spans="1:9" hidden="1">
      <c r="A98" s="937" t="s">
        <v>996</v>
      </c>
      <c r="B98" s="937"/>
      <c r="C98" s="947"/>
      <c r="D98" s="349"/>
      <c r="E98" s="946"/>
      <c r="F98" s="947"/>
      <c r="G98" s="940"/>
      <c r="H98" s="940"/>
      <c r="I98" s="940"/>
    </row>
    <row r="99" spans="1:9" hidden="1">
      <c r="A99" s="937" t="s">
        <v>1019</v>
      </c>
      <c r="B99" s="937"/>
      <c r="C99" s="947"/>
      <c r="D99" s="349"/>
      <c r="E99" s="946"/>
      <c r="F99" s="947"/>
      <c r="G99" s="940"/>
      <c r="H99" s="940"/>
      <c r="I99" s="940"/>
    </row>
    <row r="100" spans="1:9" ht="24" hidden="1">
      <c r="A100" s="937" t="s">
        <v>1020</v>
      </c>
      <c r="B100" s="937"/>
      <c r="C100" s="349"/>
      <c r="D100" s="349"/>
      <c r="E100" s="946"/>
      <c r="F100" s="947"/>
      <c r="G100" s="940"/>
      <c r="H100" s="940"/>
      <c r="I100" s="940"/>
    </row>
    <row r="101" spans="1:9" hidden="1">
      <c r="A101" s="937" t="s">
        <v>1021</v>
      </c>
      <c r="B101" s="937"/>
      <c r="C101" s="947"/>
      <c r="D101" s="349"/>
      <c r="E101" s="946"/>
      <c r="F101" s="947"/>
      <c r="G101" s="940"/>
      <c r="H101" s="940"/>
      <c r="I101" s="940"/>
    </row>
    <row r="102" spans="1:9" hidden="1">
      <c r="A102" s="936" t="s">
        <v>1005</v>
      </c>
      <c r="B102" s="937"/>
      <c r="C102" s="947"/>
      <c r="D102" s="349"/>
      <c r="E102" s="946"/>
      <c r="F102" s="947"/>
      <c r="G102" s="940"/>
      <c r="H102" s="940"/>
      <c r="I102" s="940"/>
    </row>
    <row r="103" spans="1:9" ht="24" hidden="1">
      <c r="A103" s="936" t="s">
        <v>998</v>
      </c>
      <c r="B103" s="937"/>
      <c r="C103" s="947"/>
      <c r="D103" s="349"/>
      <c r="E103" s="946"/>
      <c r="F103" s="947"/>
      <c r="G103" s="940"/>
      <c r="H103" s="940"/>
      <c r="I103" s="940"/>
    </row>
    <row r="104" spans="1:9" hidden="1">
      <c r="A104" s="949"/>
      <c r="B104" s="937"/>
      <c r="C104" s="349"/>
      <c r="D104" s="349"/>
      <c r="E104" s="946"/>
      <c r="F104" s="947"/>
      <c r="G104" s="940"/>
      <c r="H104" s="941"/>
      <c r="I104" s="941"/>
    </row>
    <row r="105" spans="1:9" ht="60" hidden="1">
      <c r="A105" s="987" t="s">
        <v>1022</v>
      </c>
      <c r="B105" s="991"/>
      <c r="C105" s="987"/>
      <c r="D105" s="987"/>
      <c r="E105" s="988"/>
      <c r="F105" s="989"/>
      <c r="G105" s="990"/>
      <c r="H105" s="990"/>
      <c r="I105" s="990"/>
    </row>
    <row r="106" spans="1:9" hidden="1">
      <c r="A106" s="936" t="s">
        <v>990</v>
      </c>
      <c r="B106" s="937"/>
      <c r="C106" s="947"/>
      <c r="D106" s="349"/>
      <c r="E106" s="946"/>
      <c r="F106" s="947"/>
      <c r="G106" s="940"/>
      <c r="H106" s="940"/>
      <c r="I106" s="940"/>
    </row>
    <row r="107" spans="1:9" hidden="1">
      <c r="A107" s="936" t="s">
        <v>992</v>
      </c>
      <c r="B107" s="937"/>
      <c r="C107" s="947"/>
      <c r="D107" s="947"/>
      <c r="E107" s="946"/>
      <c r="F107" s="947"/>
      <c r="G107" s="940"/>
      <c r="H107" s="940"/>
      <c r="I107" s="940"/>
    </row>
    <row r="108" spans="1:9" hidden="1">
      <c r="A108" s="936" t="s">
        <v>994</v>
      </c>
      <c r="B108" s="937"/>
      <c r="C108" s="349"/>
      <c r="D108" s="349"/>
      <c r="E108" s="946"/>
      <c r="F108" s="947"/>
      <c r="G108" s="940"/>
      <c r="H108" s="940"/>
      <c r="I108" s="940"/>
    </row>
    <row r="109" spans="1:9" hidden="1">
      <c r="A109" s="937" t="s">
        <v>995</v>
      </c>
      <c r="B109" s="937"/>
      <c r="C109" s="947"/>
      <c r="D109" s="349"/>
      <c r="E109" s="946"/>
      <c r="F109" s="947"/>
      <c r="G109" s="940"/>
      <c r="H109" s="940"/>
      <c r="I109" s="940"/>
    </row>
    <row r="110" spans="1:9" hidden="1">
      <c r="A110" s="937" t="s">
        <v>996</v>
      </c>
      <c r="B110" s="937"/>
      <c r="C110" s="947"/>
      <c r="D110" s="349"/>
      <c r="E110" s="946"/>
      <c r="F110" s="947"/>
      <c r="G110" s="940"/>
      <c r="H110" s="940"/>
      <c r="I110" s="940"/>
    </row>
    <row r="111" spans="1:9" ht="24" hidden="1">
      <c r="A111" s="936" t="s">
        <v>998</v>
      </c>
      <c r="B111" s="937"/>
      <c r="C111" s="947"/>
      <c r="D111" s="349"/>
      <c r="E111" s="946"/>
      <c r="F111" s="947"/>
      <c r="G111" s="940"/>
      <c r="H111" s="940"/>
      <c r="I111" s="940"/>
    </row>
    <row r="112" spans="1:9" hidden="1">
      <c r="A112" s="937"/>
      <c r="B112" s="937"/>
      <c r="C112" s="349"/>
      <c r="D112" s="349"/>
      <c r="E112" s="946"/>
      <c r="F112" s="947"/>
      <c r="G112" s="940"/>
      <c r="H112" s="941"/>
      <c r="I112" s="941"/>
    </row>
    <row r="113" spans="1:9" ht="36" hidden="1">
      <c r="A113" s="987" t="s">
        <v>1023</v>
      </c>
      <c r="B113" s="987"/>
      <c r="C113" s="987"/>
      <c r="D113" s="987"/>
      <c r="E113" s="988"/>
      <c r="F113" s="989"/>
      <c r="G113" s="990"/>
      <c r="H113" s="990"/>
      <c r="I113" s="990"/>
    </row>
    <row r="114" spans="1:9" hidden="1">
      <c r="A114" s="936" t="s">
        <v>990</v>
      </c>
      <c r="B114" s="937"/>
      <c r="C114" s="947"/>
      <c r="D114" s="349"/>
      <c r="E114" s="946"/>
      <c r="F114" s="947"/>
      <c r="G114" s="940"/>
      <c r="H114" s="940"/>
      <c r="I114" s="940"/>
    </row>
    <row r="115" spans="1:9" hidden="1">
      <c r="A115" s="936" t="s">
        <v>994</v>
      </c>
      <c r="B115" s="937"/>
      <c r="C115" s="349"/>
      <c r="D115" s="349"/>
      <c r="E115" s="946"/>
      <c r="F115" s="947"/>
      <c r="G115" s="940"/>
      <c r="H115" s="940"/>
      <c r="I115" s="940"/>
    </row>
    <row r="116" spans="1:9" hidden="1">
      <c r="A116" s="937" t="s">
        <v>995</v>
      </c>
      <c r="B116" s="937"/>
      <c r="C116" s="947"/>
      <c r="D116" s="349"/>
      <c r="E116" s="946"/>
      <c r="F116" s="947"/>
      <c r="G116" s="940"/>
      <c r="H116" s="940"/>
      <c r="I116" s="940"/>
    </row>
    <row r="117" spans="1:9" ht="24" hidden="1">
      <c r="A117" s="937" t="s">
        <v>1024</v>
      </c>
      <c r="B117" s="937"/>
      <c r="C117" s="349"/>
      <c r="D117" s="349"/>
      <c r="E117" s="946"/>
      <c r="F117" s="947"/>
      <c r="G117" s="940"/>
      <c r="H117" s="940"/>
      <c r="I117" s="940"/>
    </row>
    <row r="118" spans="1:9" ht="24" hidden="1">
      <c r="A118" s="936" t="s">
        <v>998</v>
      </c>
      <c r="B118" s="937"/>
      <c r="C118" s="947"/>
      <c r="D118" s="349"/>
      <c r="E118" s="946"/>
      <c r="F118" s="947"/>
      <c r="G118" s="940"/>
      <c r="H118" s="940"/>
      <c r="I118" s="940"/>
    </row>
    <row r="119" spans="1:9" hidden="1">
      <c r="A119" s="937"/>
      <c r="B119" s="937"/>
      <c r="C119" s="349"/>
      <c r="D119" s="349"/>
      <c r="E119" s="946"/>
      <c r="F119" s="947"/>
      <c r="G119" s="940"/>
      <c r="H119" s="941"/>
      <c r="I119" s="941"/>
    </row>
    <row r="120" spans="1:9" ht="48" hidden="1">
      <c r="A120" s="987" t="s">
        <v>1025</v>
      </c>
      <c r="B120" s="987"/>
      <c r="C120" s="987"/>
      <c r="D120" s="987"/>
      <c r="E120" s="988"/>
      <c r="F120" s="989"/>
      <c r="G120" s="990"/>
      <c r="H120" s="990"/>
      <c r="I120" s="990"/>
    </row>
    <row r="121" spans="1:9" hidden="1">
      <c r="A121" s="936" t="s">
        <v>990</v>
      </c>
      <c r="B121" s="937"/>
      <c r="C121" s="947"/>
      <c r="D121" s="349"/>
      <c r="E121" s="946"/>
      <c r="F121" s="947"/>
      <c r="G121" s="940"/>
      <c r="H121" s="940"/>
      <c r="I121" s="940"/>
    </row>
    <row r="122" spans="1:9" hidden="1">
      <c r="A122" s="936" t="s">
        <v>991</v>
      </c>
      <c r="B122" s="937"/>
      <c r="C122" s="947"/>
      <c r="D122" s="349"/>
      <c r="E122" s="946"/>
      <c r="F122" s="947"/>
      <c r="G122" s="940"/>
      <c r="H122" s="940"/>
      <c r="I122" s="940"/>
    </row>
    <row r="123" spans="1:9" hidden="1">
      <c r="A123" s="936" t="s">
        <v>994</v>
      </c>
      <c r="B123" s="937"/>
      <c r="C123" s="349"/>
      <c r="D123" s="349"/>
      <c r="E123" s="946"/>
      <c r="F123" s="947"/>
      <c r="G123" s="940"/>
      <c r="H123" s="940"/>
      <c r="I123" s="940"/>
    </row>
    <row r="124" spans="1:9" hidden="1">
      <c r="A124" s="937" t="s">
        <v>995</v>
      </c>
      <c r="B124" s="937"/>
      <c r="C124" s="947"/>
      <c r="D124" s="349"/>
      <c r="E124" s="946"/>
      <c r="F124" s="947"/>
      <c r="G124" s="940"/>
      <c r="H124" s="940"/>
      <c r="I124" s="940"/>
    </row>
    <row r="125" spans="1:9" hidden="1">
      <c r="A125" s="937" t="s">
        <v>996</v>
      </c>
      <c r="B125" s="937"/>
      <c r="C125" s="947"/>
      <c r="D125" s="349"/>
      <c r="E125" s="946"/>
      <c r="F125" s="947"/>
      <c r="G125" s="940"/>
      <c r="H125" s="940"/>
      <c r="I125" s="940"/>
    </row>
    <row r="126" spans="1:9" ht="24" hidden="1">
      <c r="A126" s="937" t="s">
        <v>1014</v>
      </c>
      <c r="B126" s="937"/>
      <c r="C126" s="947"/>
      <c r="D126" s="349"/>
      <c r="E126" s="946"/>
      <c r="F126" s="947"/>
      <c r="G126" s="940"/>
      <c r="H126" s="940"/>
      <c r="I126" s="940"/>
    </row>
    <row r="127" spans="1:9" hidden="1">
      <c r="A127" s="948" t="s">
        <v>1021</v>
      </c>
      <c r="B127" s="937"/>
      <c r="C127" s="947"/>
      <c r="D127" s="349"/>
      <c r="E127" s="946"/>
      <c r="F127" s="947"/>
      <c r="G127" s="940"/>
      <c r="H127" s="940"/>
      <c r="I127" s="940"/>
    </row>
    <row r="128" spans="1:9" hidden="1">
      <c r="A128" s="936" t="s">
        <v>1005</v>
      </c>
      <c r="B128" s="937"/>
      <c r="C128" s="947"/>
      <c r="D128" s="349"/>
      <c r="E128" s="946"/>
      <c r="F128" s="947"/>
      <c r="G128" s="940"/>
      <c r="H128" s="940"/>
      <c r="I128" s="940"/>
    </row>
    <row r="129" spans="1:9" hidden="1">
      <c r="A129" s="952" t="s">
        <v>1026</v>
      </c>
      <c r="B129" s="937"/>
      <c r="C129" s="947"/>
      <c r="D129" s="349"/>
      <c r="E129" s="946"/>
      <c r="F129" s="947"/>
      <c r="G129" s="940"/>
      <c r="H129" s="940"/>
      <c r="I129" s="940"/>
    </row>
    <row r="130" spans="1:9" hidden="1">
      <c r="A130" s="349"/>
      <c r="B130" s="349"/>
      <c r="C130" s="349"/>
      <c r="D130" s="349"/>
      <c r="E130" s="946"/>
      <c r="F130" s="947"/>
      <c r="G130" s="940"/>
      <c r="H130" s="941"/>
      <c r="I130" s="941"/>
    </row>
    <row r="131" spans="1:9" ht="24" hidden="1">
      <c r="A131" s="987" t="s">
        <v>1027</v>
      </c>
      <c r="B131" s="992"/>
      <c r="C131" s="993"/>
      <c r="D131" s="994"/>
      <c r="E131" s="995"/>
      <c r="F131" s="989"/>
      <c r="G131" s="990"/>
      <c r="H131" s="990"/>
      <c r="I131" s="990"/>
    </row>
    <row r="132" spans="1:9" ht="36" hidden="1">
      <c r="A132" s="987" t="s">
        <v>1028</v>
      </c>
      <c r="B132" s="992"/>
      <c r="C132" s="993"/>
      <c r="D132" s="994"/>
      <c r="E132" s="995"/>
      <c r="F132" s="989"/>
      <c r="G132" s="990"/>
      <c r="H132" s="990"/>
      <c r="I132" s="990"/>
    </row>
    <row r="133" spans="1:9" ht="48" hidden="1">
      <c r="A133" s="987" t="s">
        <v>1029</v>
      </c>
      <c r="B133" s="992"/>
      <c r="C133" s="993"/>
      <c r="D133" s="994"/>
      <c r="E133" s="995"/>
      <c r="F133" s="989"/>
      <c r="G133" s="990"/>
      <c r="H133" s="990"/>
      <c r="I133" s="990"/>
    </row>
    <row r="134" spans="1:9" ht="48" hidden="1">
      <c r="A134" s="987" t="s">
        <v>1030</v>
      </c>
      <c r="B134" s="992"/>
      <c r="C134" s="993"/>
      <c r="D134" s="994"/>
      <c r="E134" s="995"/>
      <c r="F134" s="989"/>
      <c r="G134" s="990"/>
      <c r="H134" s="990"/>
      <c r="I134" s="990"/>
    </row>
    <row r="135" spans="1:9" ht="48" hidden="1">
      <c r="A135" s="987" t="s">
        <v>1031</v>
      </c>
      <c r="B135" s="992"/>
      <c r="C135" s="993"/>
      <c r="D135" s="994"/>
      <c r="E135" s="995"/>
      <c r="F135" s="989"/>
      <c r="G135" s="990"/>
      <c r="H135" s="990"/>
      <c r="I135" s="990"/>
    </row>
    <row r="136" spans="1:9" ht="48" hidden="1">
      <c r="A136" s="987" t="s">
        <v>1032</v>
      </c>
      <c r="B136" s="992"/>
      <c r="C136" s="993"/>
      <c r="D136" s="994"/>
      <c r="E136" s="995"/>
      <c r="F136" s="989"/>
      <c r="G136" s="990"/>
      <c r="H136" s="990"/>
      <c r="I136" s="990"/>
    </row>
    <row r="137" spans="1:9" ht="60" hidden="1">
      <c r="A137" s="987" t="s">
        <v>1033</v>
      </c>
      <c r="B137" s="992"/>
      <c r="C137" s="993"/>
      <c r="D137" s="994"/>
      <c r="E137" s="995"/>
      <c r="F137" s="989"/>
      <c r="G137" s="990"/>
      <c r="H137" s="990"/>
      <c r="I137" s="990"/>
    </row>
    <row r="138" spans="1:9" ht="48" hidden="1">
      <c r="A138" s="996" t="s">
        <v>1034</v>
      </c>
      <c r="B138" s="994"/>
      <c r="C138" s="989"/>
      <c r="D138" s="994"/>
      <c r="E138" s="995"/>
      <c r="F138" s="989"/>
      <c r="G138" s="990"/>
      <c r="H138" s="990"/>
      <c r="I138" s="990"/>
    </row>
    <row r="139" spans="1:9" ht="24" hidden="1">
      <c r="A139" s="996" t="s">
        <v>1035</v>
      </c>
      <c r="B139" s="994"/>
      <c r="C139" s="989"/>
      <c r="D139" s="994"/>
      <c r="E139" s="995"/>
      <c r="F139" s="989"/>
      <c r="G139" s="990"/>
      <c r="H139" s="990"/>
      <c r="I139" s="990"/>
    </row>
    <row r="140" spans="1:9" hidden="1">
      <c r="A140" s="958"/>
      <c r="B140" s="959"/>
      <c r="C140" s="960"/>
      <c r="D140" s="920"/>
      <c r="E140" s="960"/>
      <c r="F140" s="961"/>
      <c r="G140" s="962"/>
      <c r="H140" s="962"/>
      <c r="I140" s="962"/>
    </row>
    <row r="141" spans="1:9" hidden="1">
      <c r="A141" s="958"/>
      <c r="B141" s="959"/>
      <c r="C141" s="960"/>
      <c r="D141" s="920"/>
      <c r="E141" s="960"/>
      <c r="F141" s="961"/>
      <c r="G141" s="962"/>
      <c r="H141" s="962"/>
      <c r="I141" s="962"/>
    </row>
    <row r="142" spans="1:9" hidden="1">
      <c r="A142" s="958"/>
      <c r="B142" s="959"/>
      <c r="C142" s="960"/>
      <c r="D142" s="920"/>
      <c r="E142" s="960"/>
      <c r="F142" s="961"/>
      <c r="G142" s="962"/>
      <c r="H142" s="962"/>
      <c r="I142" s="962"/>
    </row>
    <row r="143" spans="1:9" hidden="1">
      <c r="A143" s="958"/>
      <c r="B143" s="959"/>
      <c r="C143" s="960"/>
      <c r="D143" s="920"/>
      <c r="E143" s="960"/>
      <c r="F143" s="961"/>
      <c r="G143" s="962"/>
      <c r="H143" s="962"/>
      <c r="I143" s="962"/>
    </row>
    <row r="144" spans="1:9" ht="15.75" hidden="1" thickBot="1">
      <c r="A144" s="997"/>
      <c r="B144" s="997"/>
      <c r="C144" s="997"/>
      <c r="D144" s="997"/>
      <c r="E144" s="998"/>
      <c r="F144" s="998"/>
      <c r="G144" s="997"/>
      <c r="H144" s="997"/>
      <c r="I144" s="997"/>
    </row>
    <row r="145" spans="1:9">
      <c r="A145" s="1000" t="s">
        <v>812</v>
      </c>
      <c r="B145" s="1001"/>
      <c r="C145" s="1001"/>
      <c r="D145" s="1001"/>
      <c r="E145" s="1002"/>
      <c r="F145" s="1002"/>
      <c r="G145" s="1002">
        <f>H145+I145</f>
        <v>3438621.5700000008</v>
      </c>
      <c r="H145" s="1002">
        <f>H10+H23+H34+H46+H50+H59+H65+H73+H79+H88+H94+H105+H113+H120+H131+H132+H133+H134+H135+H136+H137+H138+H139</f>
        <v>2956302.6600000006</v>
      </c>
      <c r="I145" s="1002">
        <f>I10+I23+I34+I50+I59+I79+I105</f>
        <v>482318.91000000003</v>
      </c>
    </row>
    <row r="146" spans="1:9" ht="37.5" customHeight="1">
      <c r="A146" s="1008" t="s">
        <v>1037</v>
      </c>
      <c r="B146" s="1011" t="s">
        <v>21</v>
      </c>
      <c r="C146" s="1009">
        <v>0</v>
      </c>
      <c r="D146" s="1009">
        <v>30</v>
      </c>
      <c r="E146" s="940">
        <v>0</v>
      </c>
      <c r="F146" s="940">
        <v>2091.46</v>
      </c>
      <c r="G146" s="1010">
        <f>I146</f>
        <v>62743.8</v>
      </c>
      <c r="H146" s="1010"/>
      <c r="I146" s="1010">
        <f>ROUND(D146*F146,2)</f>
        <v>62743.8</v>
      </c>
    </row>
    <row r="147" spans="1:9" ht="13.5" customHeight="1">
      <c r="A147" s="1008" t="s">
        <v>1048</v>
      </c>
      <c r="B147" s="1009" t="s">
        <v>21</v>
      </c>
      <c r="C147" s="1009">
        <v>4</v>
      </c>
      <c r="D147" s="1009"/>
      <c r="E147" s="940">
        <v>2663.32</v>
      </c>
      <c r="F147" s="940"/>
      <c r="G147" s="1010">
        <f>H147+I147</f>
        <v>10653.28</v>
      </c>
      <c r="H147" s="1010">
        <f>ROUND(E147*C147,2)</f>
        <v>10653.28</v>
      </c>
      <c r="I147" s="1010"/>
    </row>
    <row r="148" spans="1:9" ht="18.75" customHeight="1">
      <c r="A148" s="1008" t="s">
        <v>1049</v>
      </c>
      <c r="B148" s="1009" t="s">
        <v>21</v>
      </c>
      <c r="C148" s="1009">
        <v>4</v>
      </c>
      <c r="D148" s="1009"/>
      <c r="E148" s="940">
        <v>2914.03</v>
      </c>
      <c r="F148" s="940"/>
      <c r="G148" s="1010">
        <f>H148+I148</f>
        <v>11656.12</v>
      </c>
      <c r="H148" s="1010">
        <f>ROUND(E148*C148,2)</f>
        <v>11656.12</v>
      </c>
      <c r="I148" s="1010"/>
    </row>
    <row r="149" spans="1:9" ht="15.75" thickBot="1">
      <c r="A149" s="1003" t="s">
        <v>1038</v>
      </c>
      <c r="B149" s="1004"/>
      <c r="C149" s="1004"/>
      <c r="D149" s="1004"/>
      <c r="E149" s="1005"/>
      <c r="F149" s="1005"/>
      <c r="G149" s="1006">
        <f>G145+G146+G147+G148</f>
        <v>3523674.7700000005</v>
      </c>
      <c r="H149" s="1006">
        <f>H145+H146+H147+H148</f>
        <v>2978612.0600000005</v>
      </c>
      <c r="I149" s="1007">
        <f>I145+I146</f>
        <v>545062.71000000008</v>
      </c>
    </row>
    <row r="150" spans="1:9">
      <c r="A150" s="997"/>
      <c r="B150" s="997"/>
      <c r="C150" s="997"/>
      <c r="D150" s="997"/>
      <c r="E150" s="998"/>
      <c r="F150" s="998"/>
      <c r="G150" s="997"/>
      <c r="H150" s="997"/>
      <c r="I150" s="997"/>
    </row>
    <row r="151" spans="1:9">
      <c r="G151" s="359"/>
    </row>
  </sheetData>
  <mergeCells count="8">
    <mergeCell ref="A3:I3"/>
    <mergeCell ref="A4:I4"/>
    <mergeCell ref="A7:A9"/>
    <mergeCell ref="B7:B9"/>
    <mergeCell ref="C7:D8"/>
    <mergeCell ref="E7:F8"/>
    <mergeCell ref="G7:G9"/>
    <mergeCell ref="H7:I7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tabColor rgb="FFFF0000"/>
  </sheetPr>
  <dimension ref="A1:G42"/>
  <sheetViews>
    <sheetView workbookViewId="0">
      <selection activeCell="M24" sqref="M24"/>
    </sheetView>
  </sheetViews>
  <sheetFormatPr defaultRowHeight="15"/>
  <cols>
    <col min="1" max="1" width="3.85546875" customWidth="1"/>
    <col min="2" max="2" width="40.85546875" customWidth="1"/>
    <col min="3" max="3" width="5.140625" customWidth="1"/>
    <col min="4" max="4" width="6.28515625" customWidth="1"/>
    <col min="5" max="5" width="10" customWidth="1"/>
    <col min="6" max="6" width="9.28515625" customWidth="1"/>
    <col min="7" max="7" width="9.42578125" style="506" customWidth="1"/>
  </cols>
  <sheetData>
    <row r="1" spans="1:7" ht="15.75" thickBot="1">
      <c r="B1" t="s">
        <v>756</v>
      </c>
    </row>
    <row r="2" spans="1:7">
      <c r="A2" s="1442" t="s">
        <v>26</v>
      </c>
      <c r="B2" s="1444" t="s">
        <v>786</v>
      </c>
      <c r="C2" s="1446" t="s">
        <v>785</v>
      </c>
      <c r="D2" s="1440" t="s">
        <v>97</v>
      </c>
      <c r="E2" s="1440" t="s">
        <v>794</v>
      </c>
      <c r="F2" s="1440" t="s">
        <v>812</v>
      </c>
      <c r="G2" s="1440" t="s">
        <v>813</v>
      </c>
    </row>
    <row r="3" spans="1:7" ht="15.75" thickBot="1">
      <c r="A3" s="1443"/>
      <c r="B3" s="1445"/>
      <c r="C3" s="1447"/>
      <c r="D3" s="1441"/>
      <c r="E3" s="1441"/>
      <c r="F3" s="1441"/>
      <c r="G3" s="1441"/>
    </row>
    <row r="4" spans="1:7">
      <c r="A4" s="625">
        <v>1</v>
      </c>
      <c r="B4" s="508">
        <v>2</v>
      </c>
      <c r="C4" s="509">
        <v>3</v>
      </c>
      <c r="D4" s="509">
        <v>4</v>
      </c>
      <c r="E4" s="509">
        <v>6</v>
      </c>
      <c r="F4" s="537">
        <v>7</v>
      </c>
      <c r="G4" s="543">
        <v>9</v>
      </c>
    </row>
    <row r="5" spans="1:7" ht="0.75" customHeight="1">
      <c r="A5" s="626"/>
      <c r="B5" s="510"/>
      <c r="C5" s="509" t="s">
        <v>793</v>
      </c>
      <c r="D5" s="509"/>
      <c r="E5" s="511"/>
      <c r="F5" s="516"/>
      <c r="G5" s="522"/>
    </row>
    <row r="6" spans="1:7" hidden="1">
      <c r="A6" s="627"/>
      <c r="B6" s="613"/>
      <c r="C6" s="503"/>
      <c r="D6" s="503"/>
      <c r="E6" s="503"/>
      <c r="F6" s="430">
        <f>'с 21.12.2013-20.12.2014'!H12</f>
        <v>1</v>
      </c>
      <c r="G6" s="523"/>
    </row>
    <row r="7" spans="1:7" s="507" customFormat="1" ht="15.75" thickBot="1">
      <c r="A7" s="628"/>
      <c r="B7" s="614" t="s">
        <v>533</v>
      </c>
      <c r="C7" s="582"/>
      <c r="D7" s="582"/>
      <c r="E7" s="582"/>
      <c r="F7" s="583"/>
      <c r="G7" s="596"/>
    </row>
    <row r="8" spans="1:7" ht="32.25" thickBot="1">
      <c r="A8" s="554">
        <v>1</v>
      </c>
      <c r="B8" s="615" t="s">
        <v>501</v>
      </c>
      <c r="C8" s="578" t="s">
        <v>470</v>
      </c>
      <c r="D8" s="578">
        <v>8852</v>
      </c>
      <c r="E8" s="578">
        <f>'стоимость содержания'!K38*F6/100</f>
        <v>25.545528658944008</v>
      </c>
      <c r="F8" s="606">
        <f>ROUND(PRODUCT(E8*D8),2)</f>
        <v>226129.02</v>
      </c>
      <c r="G8" s="535" t="e">
        <f>#REF!+#REF!+#REF!+#REF!+#REF!+#REF!+#REF!</f>
        <v>#REF!</v>
      </c>
    </row>
    <row r="9" spans="1:7" ht="21.75" thickBot="1">
      <c r="A9" s="629">
        <f>A8+1</f>
        <v>2</v>
      </c>
      <c r="B9" s="616" t="s">
        <v>638</v>
      </c>
      <c r="C9" s="515" t="s">
        <v>470</v>
      </c>
      <c r="D9" s="899">
        <v>789</v>
      </c>
      <c r="E9" s="601">
        <f>'стоимость содержания'!K41*F6/100</f>
        <v>65.842239560831999</v>
      </c>
      <c r="F9" s="602">
        <f>ROUND(PRODUCT(D9*E9),2)</f>
        <v>51949.53</v>
      </c>
      <c r="G9" s="556" t="e">
        <f>#REF!+#REF!+#REF!+#REF!+#REF!+#REF!+#REF!</f>
        <v>#REF!</v>
      </c>
    </row>
    <row r="10" spans="1:7" ht="21.75" thickBot="1">
      <c r="A10" s="554">
        <f>A9+1</f>
        <v>3</v>
      </c>
      <c r="B10" s="617" t="s">
        <v>637</v>
      </c>
      <c r="C10" s="578" t="s">
        <v>470</v>
      </c>
      <c r="D10" s="578">
        <v>230</v>
      </c>
      <c r="E10" s="595">
        <f>'стоимость содержания'!K42*F6/100</f>
        <v>5.4581011301375995</v>
      </c>
      <c r="F10" s="590">
        <f>ROUND(PRODUCT(D10*E10),2)</f>
        <v>1255.3599999999999</v>
      </c>
      <c r="G10" s="535" t="e">
        <f>#REF!+#REF!+#REF!+#REF!+#REF!+#REF!+#REF!</f>
        <v>#REF!</v>
      </c>
    </row>
    <row r="11" spans="1:7" ht="15.75" thickBot="1">
      <c r="A11" s="554">
        <f>A10+1</f>
        <v>4</v>
      </c>
      <c r="B11" s="615" t="s">
        <v>32</v>
      </c>
      <c r="C11" s="578" t="s">
        <v>21</v>
      </c>
      <c r="D11" s="578">
        <v>92</v>
      </c>
      <c r="E11" s="595">
        <f>'стоимость содержания'!K39*F6</f>
        <v>1691.1900932161534</v>
      </c>
      <c r="F11" s="590">
        <f>ROUND(PRODUCT(D11*E11),2)</f>
        <v>155589.49</v>
      </c>
      <c r="G11" s="535" t="e">
        <f>#REF!+#REF!+#REF!+#REF!+#REF!+#REF!+#REF!</f>
        <v>#REF!</v>
      </c>
    </row>
    <row r="12" spans="1:7" ht="21.75" thickBot="1">
      <c r="A12" s="554">
        <f>A11+1</f>
        <v>5</v>
      </c>
      <c r="B12" s="618" t="s">
        <v>731</v>
      </c>
      <c r="C12" s="578" t="s">
        <v>21</v>
      </c>
      <c r="D12" s="578">
        <v>98</v>
      </c>
      <c r="E12" s="578">
        <f>'стоимость содержания'!K40*F6</f>
        <v>253.59748788326402</v>
      </c>
      <c r="F12" s="590">
        <f>ROUND(PRODUCT(D12*E12),2)</f>
        <v>24852.55</v>
      </c>
      <c r="G12" s="535" t="e">
        <f>#REF!+#REF!+#REF!+#REF!+#REF!+#REF!+#REF!</f>
        <v>#REF!</v>
      </c>
    </row>
    <row r="13" spans="1:7" ht="15.75" thickBot="1">
      <c r="A13" s="554">
        <f>A12+1</f>
        <v>6</v>
      </c>
      <c r="B13" s="618" t="s">
        <v>787</v>
      </c>
      <c r="C13" s="550" t="s">
        <v>470</v>
      </c>
      <c r="D13" s="578">
        <v>8852</v>
      </c>
      <c r="E13" s="578">
        <f>'стоимость содержания'!K32*F6/100</f>
        <v>1.3260692735999999</v>
      </c>
      <c r="F13" s="590">
        <f>ROUND(PRODUCT(D13*E13),2)</f>
        <v>11738.37</v>
      </c>
      <c r="G13" s="535" t="e">
        <f>#REF!+#REF!+#REF!+#REF!+#REF!+#REF!+#REF!</f>
        <v>#REF!</v>
      </c>
    </row>
    <row r="14" spans="1:7" s="507" customFormat="1" ht="15.75" thickBot="1">
      <c r="A14" s="628"/>
      <c r="B14" s="619" t="s">
        <v>534</v>
      </c>
      <c r="C14" s="584"/>
      <c r="D14" s="584"/>
      <c r="E14" s="584"/>
      <c r="F14" s="585"/>
      <c r="G14" s="586"/>
    </row>
    <row r="15" spans="1:7" ht="21.75" thickBot="1">
      <c r="A15" s="554">
        <v>1</v>
      </c>
      <c r="B15" s="618" t="s">
        <v>738</v>
      </c>
      <c r="C15" s="578" t="s">
        <v>470</v>
      </c>
      <c r="D15" s="578">
        <v>1400</v>
      </c>
      <c r="E15" s="578" t="e">
        <f>'стоимость содержания'!K8*#REF!/100</f>
        <v>#REF!</v>
      </c>
      <c r="F15" s="579" t="e">
        <f>D15*E15</f>
        <v>#REF!</v>
      </c>
      <c r="G15" s="552" t="e">
        <f>#REF!+#REF!+#REF!</f>
        <v>#REF!</v>
      </c>
    </row>
    <row r="16" spans="1:7" ht="15.75" thickBot="1">
      <c r="A16" s="554">
        <f>A15+1</f>
        <v>2</v>
      </c>
      <c r="B16" s="618" t="s">
        <v>739</v>
      </c>
      <c r="C16" s="578" t="s">
        <v>470</v>
      </c>
      <c r="D16" s="578">
        <v>11227</v>
      </c>
      <c r="E16" s="578" t="e">
        <f>'стоимость содержания'!K9*#REF!/100</f>
        <v>#REF!</v>
      </c>
      <c r="F16" s="579" t="e">
        <f>D16*E16</f>
        <v>#REF!</v>
      </c>
      <c r="G16" s="552" t="e">
        <f>#REF!+#REF!+#REF!</f>
        <v>#REF!</v>
      </c>
    </row>
    <row r="17" spans="1:7" ht="15.75" thickBot="1">
      <c r="A17" s="554">
        <f t="shared" ref="A17:A18" si="0">A16+1</f>
        <v>3</v>
      </c>
      <c r="B17" s="615" t="s">
        <v>32</v>
      </c>
      <c r="C17" s="578" t="s">
        <v>21</v>
      </c>
      <c r="D17" s="578">
        <v>92</v>
      </c>
      <c r="E17" s="578" t="e">
        <f>'стоимость содержания'!K10*#REF!</f>
        <v>#REF!</v>
      </c>
      <c r="F17" s="579" t="e">
        <f>D17*E17</f>
        <v>#REF!</v>
      </c>
      <c r="G17" s="552" t="e">
        <f>#REF!+#REF!+#REF!</f>
        <v>#REF!</v>
      </c>
    </row>
    <row r="18" spans="1:7" ht="15.75" thickBot="1">
      <c r="A18" s="554">
        <f t="shared" si="0"/>
        <v>4</v>
      </c>
      <c r="B18" s="615" t="s">
        <v>833</v>
      </c>
      <c r="C18" s="581" t="s">
        <v>470</v>
      </c>
      <c r="D18" s="581">
        <v>78286</v>
      </c>
      <c r="E18" s="581" t="e">
        <f>'стоимость содержания'!K11*#REF!/100</f>
        <v>#REF!</v>
      </c>
      <c r="F18" s="579" t="e">
        <f>D18*E18</f>
        <v>#REF!</v>
      </c>
      <c r="G18" s="552" t="e">
        <f>#REF!+#REF!+#REF!</f>
        <v>#REF!</v>
      </c>
    </row>
    <row r="19" spans="1:7">
      <c r="A19" s="630" t="s">
        <v>795</v>
      </c>
      <c r="B19" s="620" t="s">
        <v>788</v>
      </c>
      <c r="C19" s="580" t="s">
        <v>470</v>
      </c>
      <c r="D19" s="580">
        <f>D18</f>
        <v>78286</v>
      </c>
      <c r="E19" s="580" t="e">
        <f>'стоимость содержания'!F12*#REF!/100</f>
        <v>#REF!</v>
      </c>
      <c r="F19" s="577" t="e">
        <f>E19*D19</f>
        <v>#REF!</v>
      </c>
      <c r="G19" s="568" t="e">
        <f>#REF!+#REF!+#REF!</f>
        <v>#REF!</v>
      </c>
    </row>
    <row r="20" spans="1:7">
      <c r="A20" s="631" t="s">
        <v>796</v>
      </c>
      <c r="B20" s="621" t="s">
        <v>789</v>
      </c>
      <c r="C20" s="514" t="s">
        <v>470</v>
      </c>
      <c r="D20" s="514">
        <f>D19</f>
        <v>78286</v>
      </c>
      <c r="E20" s="514" t="e">
        <f>'стоимость содержания'!F13/100*#REF!</f>
        <v>#REF!</v>
      </c>
      <c r="F20" s="517" t="e">
        <f>E20*D19</f>
        <v>#REF!</v>
      </c>
      <c r="G20" s="531" t="e">
        <f>#REF!+#REF!+#REF!</f>
        <v>#REF!</v>
      </c>
    </row>
    <row r="21" spans="1:7" ht="15.75" thickBot="1">
      <c r="A21" s="632" t="s">
        <v>797</v>
      </c>
      <c r="B21" s="622" t="s">
        <v>834</v>
      </c>
      <c r="C21" s="574" t="s">
        <v>470</v>
      </c>
      <c r="D21" s="574">
        <f>D20</f>
        <v>78286</v>
      </c>
      <c r="E21" s="574" t="e">
        <f>'стоимость содержания'!F14*#REF!/100</f>
        <v>#REF!</v>
      </c>
      <c r="F21" s="575" t="e">
        <f t="shared" ref="F21:F40" si="1">D21*E21</f>
        <v>#REF!</v>
      </c>
      <c r="G21" s="547" t="e">
        <f>#REF!+#REF!+#REF!</f>
        <v>#REF!</v>
      </c>
    </row>
    <row r="22" spans="1:7" ht="15.75" thickBot="1">
      <c r="A22" s="554">
        <f>A18+1</f>
        <v>5</v>
      </c>
      <c r="B22" s="615" t="s">
        <v>42</v>
      </c>
      <c r="C22" s="578" t="s">
        <v>21</v>
      </c>
      <c r="D22" s="578">
        <v>61</v>
      </c>
      <c r="E22" s="578" t="e">
        <f>'стоимость содержания'!K15*#REF!</f>
        <v>#REF!</v>
      </c>
      <c r="F22" s="579" t="e">
        <f t="shared" si="1"/>
        <v>#REF!</v>
      </c>
      <c r="G22" s="552" t="e">
        <f>#REF!+#REF!+#REF!</f>
        <v>#REF!</v>
      </c>
    </row>
    <row r="23" spans="1:7" ht="22.5">
      <c r="A23" s="630" t="s">
        <v>799</v>
      </c>
      <c r="B23" s="620" t="s">
        <v>801</v>
      </c>
      <c r="C23" s="536" t="s">
        <v>21</v>
      </c>
      <c r="D23" s="511">
        <v>61</v>
      </c>
      <c r="E23" s="576" t="e">
        <f>'стоимость содержания'!K18*#REF!</f>
        <v>#REF!</v>
      </c>
      <c r="F23" s="577" t="e">
        <f t="shared" si="1"/>
        <v>#REF!</v>
      </c>
      <c r="G23" s="568" t="e">
        <f>#REF!+#REF!+#REF!</f>
        <v>#REF!</v>
      </c>
    </row>
    <row r="24" spans="1:7" ht="22.5">
      <c r="A24" s="633" t="s">
        <v>800</v>
      </c>
      <c r="B24" s="621" t="s">
        <v>205</v>
      </c>
      <c r="C24" s="431" t="s">
        <v>21</v>
      </c>
      <c r="D24" s="505">
        <v>61</v>
      </c>
      <c r="E24" s="504" t="e">
        <f>'стоимость содержания'!K16*#REF!</f>
        <v>#REF!</v>
      </c>
      <c r="F24" s="518" t="e">
        <f t="shared" si="1"/>
        <v>#REF!</v>
      </c>
      <c r="G24" s="531" t="e">
        <f>#REF!+#REF!+#REF!</f>
        <v>#REF!</v>
      </c>
    </row>
    <row r="25" spans="1:7" ht="23.25" thickBot="1">
      <c r="A25" s="632" t="s">
        <v>802</v>
      </c>
      <c r="B25" s="622" t="s">
        <v>790</v>
      </c>
      <c r="C25" s="545" t="s">
        <v>21</v>
      </c>
      <c r="D25" s="572">
        <v>61</v>
      </c>
      <c r="E25" s="573" t="e">
        <f>'стоимость содержания'!F17*#REF!</f>
        <v>#REF!</v>
      </c>
      <c r="F25" s="546" t="e">
        <f t="shared" si="1"/>
        <v>#REF!</v>
      </c>
      <c r="G25" s="547" t="e">
        <f>#REF!+#REF!+#REF!</f>
        <v>#REF!</v>
      </c>
    </row>
    <row r="26" spans="1:7" ht="15.75" thickBot="1">
      <c r="A26" s="554">
        <v>6</v>
      </c>
      <c r="B26" s="615" t="s">
        <v>792</v>
      </c>
      <c r="C26" s="550" t="s">
        <v>791</v>
      </c>
      <c r="D26" s="550">
        <v>868</v>
      </c>
      <c r="E26" s="550" t="e">
        <f>'стоимость содержания'!K19*#REF!/100</f>
        <v>#REF!</v>
      </c>
      <c r="F26" s="551" t="e">
        <f t="shared" si="1"/>
        <v>#REF!</v>
      </c>
      <c r="G26" s="552" t="e">
        <f>#REF!+#REF!+#REF!</f>
        <v>#REF!</v>
      </c>
    </row>
    <row r="27" spans="1:7" ht="22.5">
      <c r="A27" s="630" t="s">
        <v>805</v>
      </c>
      <c r="B27" s="620" t="s">
        <v>826</v>
      </c>
      <c r="C27" s="536" t="s">
        <v>791</v>
      </c>
      <c r="D27" s="536">
        <v>868</v>
      </c>
      <c r="E27" s="536" t="e">
        <f>'стоимость содержания'!F20*#REF!/100</f>
        <v>#REF!</v>
      </c>
      <c r="F27" s="567" t="e">
        <f t="shared" si="1"/>
        <v>#REF!</v>
      </c>
      <c r="G27" s="568" t="e">
        <f>#REF!+#REF!+#REF!</f>
        <v>#REF!</v>
      </c>
    </row>
    <row r="28" spans="1:7" ht="23.25" thickBot="1">
      <c r="A28" s="632" t="s">
        <v>806</v>
      </c>
      <c r="B28" s="622" t="s">
        <v>803</v>
      </c>
      <c r="C28" s="545" t="s">
        <v>791</v>
      </c>
      <c r="D28" s="545">
        <v>868</v>
      </c>
      <c r="E28" s="545" t="e">
        <f>'стоимость содержания'!F21*#REF!/100</f>
        <v>#REF!</v>
      </c>
      <c r="F28" s="546" t="e">
        <f t="shared" si="1"/>
        <v>#REF!</v>
      </c>
      <c r="G28" s="547" t="e">
        <f>#REF!+#REF!+#REF!</f>
        <v>#REF!</v>
      </c>
    </row>
    <row r="29" spans="1:7" ht="15.75" thickBot="1">
      <c r="A29" s="554">
        <v>7</v>
      </c>
      <c r="B29" s="615" t="s">
        <v>277</v>
      </c>
      <c r="C29" s="550" t="s">
        <v>470</v>
      </c>
      <c r="D29" s="550">
        <f>677+3.12</f>
        <v>680.12</v>
      </c>
      <c r="E29" s="550" t="e">
        <f>'стоимость содержания'!K31*#REF!</f>
        <v>#REF!</v>
      </c>
      <c r="F29" s="551" t="e">
        <f t="shared" si="1"/>
        <v>#REF!</v>
      </c>
      <c r="G29" s="552" t="e">
        <f>#REF!+#REF!+#REF!</f>
        <v>#REF!</v>
      </c>
    </row>
    <row r="30" spans="1:7" ht="15.75" thickBot="1">
      <c r="A30" s="554">
        <v>8</v>
      </c>
      <c r="B30" s="615" t="s">
        <v>46</v>
      </c>
      <c r="C30" s="550" t="s">
        <v>470</v>
      </c>
      <c r="D30" s="550">
        <f t="shared" ref="D30:D35" si="2">677+3.12</f>
        <v>680.12</v>
      </c>
      <c r="E30" s="550" t="e">
        <f>'стоимость содержания'!K22*#REF!/100</f>
        <v>#REF!</v>
      </c>
      <c r="F30" s="551" t="e">
        <f t="shared" si="1"/>
        <v>#REF!</v>
      </c>
      <c r="G30" s="552" t="e">
        <f>#REF!+#REF!+#REF!</f>
        <v>#REF!</v>
      </c>
    </row>
    <row r="31" spans="1:7">
      <c r="A31" s="630" t="s">
        <v>807</v>
      </c>
      <c r="B31" s="620" t="s">
        <v>313</v>
      </c>
      <c r="C31" s="536" t="s">
        <v>470</v>
      </c>
      <c r="D31" s="536">
        <f t="shared" si="2"/>
        <v>680.12</v>
      </c>
      <c r="E31" s="536" t="e">
        <f>'стоимость содержания'!K23*#REF!/100</f>
        <v>#REF!</v>
      </c>
      <c r="F31" s="567" t="e">
        <f t="shared" si="1"/>
        <v>#REF!</v>
      </c>
      <c r="G31" s="568" t="e">
        <f>#REF!+#REF!+#REF!</f>
        <v>#REF!</v>
      </c>
    </row>
    <row r="32" spans="1:7">
      <c r="A32" s="631" t="s">
        <v>808</v>
      </c>
      <c r="B32" s="621" t="s">
        <v>328</v>
      </c>
      <c r="C32" s="431" t="s">
        <v>470</v>
      </c>
      <c r="D32" s="431">
        <f t="shared" si="2"/>
        <v>680.12</v>
      </c>
      <c r="E32" s="431" t="e">
        <f>'стоимость содержания'!K24*#REF!/100</f>
        <v>#REF!</v>
      </c>
      <c r="F32" s="518" t="e">
        <f t="shared" si="1"/>
        <v>#REF!</v>
      </c>
      <c r="G32" s="531" t="e">
        <f>#REF!+#REF!+#REF!</f>
        <v>#REF!</v>
      </c>
    </row>
    <row r="33" spans="1:7" ht="22.5">
      <c r="A33" s="631" t="s">
        <v>809</v>
      </c>
      <c r="B33" s="621" t="s">
        <v>354</v>
      </c>
      <c r="C33" s="431" t="s">
        <v>470</v>
      </c>
      <c r="D33" s="431">
        <f t="shared" si="2"/>
        <v>680.12</v>
      </c>
      <c r="E33" s="431" t="e">
        <f>'стоимость содержания'!K25*#REF!/100</f>
        <v>#REF!</v>
      </c>
      <c r="F33" s="518" t="e">
        <f t="shared" si="1"/>
        <v>#REF!</v>
      </c>
      <c r="G33" s="531" t="e">
        <f>#REF!+#REF!+#REF!</f>
        <v>#REF!</v>
      </c>
    </row>
    <row r="34" spans="1:7" ht="22.5">
      <c r="A34" s="631" t="s">
        <v>810</v>
      </c>
      <c r="B34" s="621" t="s">
        <v>358</v>
      </c>
      <c r="C34" s="431" t="s">
        <v>470</v>
      </c>
      <c r="D34" s="431">
        <f t="shared" si="2"/>
        <v>680.12</v>
      </c>
      <c r="E34" s="431" t="e">
        <f>'стоимость содержания'!K26*#REF!/100</f>
        <v>#REF!</v>
      </c>
      <c r="F34" s="518" t="e">
        <f t="shared" si="1"/>
        <v>#REF!</v>
      </c>
      <c r="G34" s="531" t="e">
        <f>#REF!+#REF!+#REF!</f>
        <v>#REF!</v>
      </c>
    </row>
    <row r="35" spans="1:7" ht="23.25" thickBot="1">
      <c r="A35" s="632" t="s">
        <v>811</v>
      </c>
      <c r="B35" s="622" t="s">
        <v>368</v>
      </c>
      <c r="C35" s="545" t="s">
        <v>470</v>
      </c>
      <c r="D35" s="545">
        <f t="shared" si="2"/>
        <v>680.12</v>
      </c>
      <c r="E35" s="545" t="e">
        <f>'стоимость содержания'!K27*#REF!/100</f>
        <v>#REF!</v>
      </c>
      <c r="F35" s="546" t="e">
        <f t="shared" si="1"/>
        <v>#REF!</v>
      </c>
      <c r="G35" s="547" t="e">
        <f>#REF!+#REF!+#REF!</f>
        <v>#REF!</v>
      </c>
    </row>
    <row r="36" spans="1:7" ht="15.75" thickBot="1">
      <c r="A36" s="554">
        <v>9</v>
      </c>
      <c r="B36" s="615" t="s">
        <v>50</v>
      </c>
      <c r="C36" s="550" t="s">
        <v>21</v>
      </c>
      <c r="D36" s="550">
        <v>92</v>
      </c>
      <c r="E36" s="550" t="e">
        <f>'стоимость содержания'!K29*#REF!</f>
        <v>#REF!</v>
      </c>
      <c r="F36" s="551" t="e">
        <f t="shared" si="1"/>
        <v>#REF!</v>
      </c>
      <c r="G36" s="552" t="e">
        <f>#REF!+#REF!+#REF!</f>
        <v>#REF!</v>
      </c>
    </row>
    <row r="37" spans="1:7" ht="15.75" thickBot="1">
      <c r="A37" s="554">
        <v>10</v>
      </c>
      <c r="B37" s="615" t="s">
        <v>51</v>
      </c>
      <c r="C37" s="550" t="s">
        <v>21</v>
      </c>
      <c r="D37" s="550">
        <v>98</v>
      </c>
      <c r="E37" s="550" t="e">
        <f>'стоимость содержания'!K30*#REF!</f>
        <v>#REF!</v>
      </c>
      <c r="F37" s="551" t="e">
        <f t="shared" si="1"/>
        <v>#REF!</v>
      </c>
      <c r="G37" s="552" t="e">
        <f>#REF!+#REF!+#REF!</f>
        <v>#REF!</v>
      </c>
    </row>
    <row r="38" spans="1:7" ht="15.75" thickBot="1">
      <c r="A38" s="554">
        <v>11</v>
      </c>
      <c r="B38" s="555" t="s">
        <v>740</v>
      </c>
      <c r="C38" s="550" t="s">
        <v>470</v>
      </c>
      <c r="D38" s="550">
        <v>34</v>
      </c>
      <c r="E38" s="550" t="e">
        <f>'стоимость содержания'!K33*#REF!</f>
        <v>#REF!</v>
      </c>
      <c r="F38" s="551" t="e">
        <f t="shared" si="1"/>
        <v>#REF!</v>
      </c>
      <c r="G38" s="552" t="e">
        <f>#REF!+#REF!+#REF!</f>
        <v>#REF!</v>
      </c>
    </row>
    <row r="39" spans="1:7" ht="15.75" thickBot="1">
      <c r="A39" s="634">
        <v>14</v>
      </c>
      <c r="B39" s="623" t="s">
        <v>760</v>
      </c>
      <c r="C39" s="557" t="s">
        <v>470</v>
      </c>
      <c r="D39" s="558">
        <v>3685</v>
      </c>
      <c r="E39" s="559" t="e">
        <f>'стоимость содержания'!K34*#REF!</f>
        <v>#REF!</v>
      </c>
      <c r="F39" s="560" t="e">
        <f t="shared" si="1"/>
        <v>#REF!</v>
      </c>
      <c r="G39" s="552" t="e">
        <f>#REF!+#REF!+#REF!</f>
        <v>#REF!</v>
      </c>
    </row>
    <row r="40" spans="1:7" ht="15.75" thickBot="1">
      <c r="A40" s="635">
        <v>15</v>
      </c>
      <c r="B40" s="624" t="s">
        <v>761</v>
      </c>
      <c r="C40" s="561" t="s">
        <v>470</v>
      </c>
      <c r="D40" s="562">
        <v>102</v>
      </c>
      <c r="E40" s="563" t="e">
        <f>'стоимость содержания'!K35*#REF!</f>
        <v>#REF!</v>
      </c>
      <c r="F40" s="564" t="e">
        <f t="shared" si="1"/>
        <v>#REF!</v>
      </c>
      <c r="G40" s="565" t="e">
        <f>#REF!+#REF!+#REF!</f>
        <v>#REF!</v>
      </c>
    </row>
    <row r="41" spans="1:7" ht="15.75" thickBot="1">
      <c r="A41" s="636"/>
      <c r="B41" s="623" t="s">
        <v>827</v>
      </c>
      <c r="C41" s="533"/>
      <c r="D41" s="533"/>
      <c r="E41" s="533"/>
      <c r="F41" s="534" t="e">
        <f>F40+F39+F38+F37+F36+F30+F29+F26+F22+F18+F17+F16+F15+F13+F12+F11+F10+F9+F8</f>
        <v>#REF!</v>
      </c>
      <c r="G41" s="535" t="e">
        <f t="shared" ref="G41" si="3">G40+G39+G38+G37+G36+G30+G29+G26+G22+G18+G17+G16+G15+G13+G12+G11+G10+G9+G8</f>
        <v>#REF!</v>
      </c>
    </row>
    <row r="42" spans="1:7">
      <c r="G42" s="612"/>
    </row>
  </sheetData>
  <mergeCells count="7">
    <mergeCell ref="G2:G3"/>
    <mergeCell ref="A2:A3"/>
    <mergeCell ref="B2:B3"/>
    <mergeCell ref="C2:C3"/>
    <mergeCell ref="D2:D3"/>
    <mergeCell ref="E2:E3"/>
    <mergeCell ref="F2:F3"/>
  </mergeCells>
  <pageMargins left="0" right="0" top="0" bottom="0" header="0.31496062992125984" footer="0.31496062992125984"/>
  <pageSetup paperSize="9" scale="75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tabColor rgb="FFFF0000"/>
  </sheetPr>
  <dimension ref="A1:U43"/>
  <sheetViews>
    <sheetView workbookViewId="0">
      <selection activeCell="B41" sqref="B41"/>
    </sheetView>
  </sheetViews>
  <sheetFormatPr defaultRowHeight="15"/>
  <cols>
    <col min="1" max="1" width="3.85546875" customWidth="1"/>
    <col min="2" max="2" width="40.85546875" customWidth="1"/>
    <col min="3" max="3" width="5.140625" customWidth="1"/>
    <col min="4" max="4" width="6.28515625" customWidth="1"/>
    <col min="5" max="5" width="8.140625" customWidth="1"/>
    <col min="6" max="6" width="9.28515625" customWidth="1"/>
    <col min="7" max="7" width="9.42578125" style="506" customWidth="1"/>
    <col min="8" max="8" width="8.85546875" customWidth="1"/>
    <col min="9" max="9" width="9" customWidth="1"/>
    <col min="10" max="10" width="8.85546875" customWidth="1"/>
    <col min="11" max="11" width="9.140625" style="506" customWidth="1"/>
    <col min="12" max="12" width="8.85546875" customWidth="1"/>
    <col min="13" max="13" width="9.42578125" customWidth="1"/>
    <col min="14" max="14" width="9" customWidth="1"/>
    <col min="15" max="15" width="10" style="506" customWidth="1"/>
    <col min="16" max="16" width="9.140625" customWidth="1"/>
    <col min="17" max="17" width="9.5703125" customWidth="1"/>
    <col min="18" max="18" width="9.28515625" customWidth="1"/>
    <col min="19" max="19" width="8.85546875" customWidth="1"/>
    <col min="20" max="20" width="11" customWidth="1"/>
    <col min="21" max="21" width="10.85546875" customWidth="1"/>
  </cols>
  <sheetData>
    <row r="1" spans="1:21" ht="15.75" thickBot="1">
      <c r="B1" t="s">
        <v>756</v>
      </c>
    </row>
    <row r="2" spans="1:21" ht="15.75" thickBot="1">
      <c r="A2" s="1442" t="s">
        <v>26</v>
      </c>
      <c r="B2" s="1444" t="s">
        <v>786</v>
      </c>
      <c r="C2" s="1446" t="s">
        <v>785</v>
      </c>
      <c r="D2" s="1440" t="s">
        <v>97</v>
      </c>
      <c r="E2" s="1440" t="s">
        <v>794</v>
      </c>
      <c r="F2" s="1440" t="s">
        <v>812</v>
      </c>
      <c r="G2" s="1440" t="s">
        <v>813</v>
      </c>
      <c r="H2" s="538">
        <v>6</v>
      </c>
      <c r="I2" s="538">
        <v>30</v>
      </c>
      <c r="J2" s="538">
        <v>31</v>
      </c>
      <c r="K2" s="1448" t="s">
        <v>814</v>
      </c>
      <c r="L2" s="538">
        <v>30</v>
      </c>
      <c r="M2" s="538">
        <v>31</v>
      </c>
      <c r="N2" s="538">
        <v>31</v>
      </c>
      <c r="O2" s="1448" t="s">
        <v>815</v>
      </c>
      <c r="P2" s="539">
        <v>24</v>
      </c>
      <c r="Q2" s="540">
        <v>6</v>
      </c>
      <c r="R2" s="538">
        <v>31</v>
      </c>
      <c r="S2" s="541">
        <v>30</v>
      </c>
    </row>
    <row r="3" spans="1:21" ht="53.25" thickBot="1">
      <c r="A3" s="1443"/>
      <c r="B3" s="1445"/>
      <c r="C3" s="1447"/>
      <c r="D3" s="1441"/>
      <c r="E3" s="1441"/>
      <c r="F3" s="1441"/>
      <c r="G3" s="1441"/>
      <c r="H3" s="542" t="s">
        <v>816</v>
      </c>
      <c r="I3" s="542" t="s">
        <v>817</v>
      </c>
      <c r="J3" s="542" t="s">
        <v>818</v>
      </c>
      <c r="K3" s="1449"/>
      <c r="L3" s="542" t="s">
        <v>819</v>
      </c>
      <c r="M3" s="542" t="s">
        <v>820</v>
      </c>
      <c r="N3" s="542" t="s">
        <v>821</v>
      </c>
      <c r="O3" s="1449"/>
      <c r="P3" s="542" t="s">
        <v>822</v>
      </c>
      <c r="Q3" s="542" t="s">
        <v>823</v>
      </c>
      <c r="R3" s="542" t="s">
        <v>824</v>
      </c>
      <c r="S3" s="542" t="s">
        <v>825</v>
      </c>
    </row>
    <row r="4" spans="1:21">
      <c r="A4" s="625">
        <v>1</v>
      </c>
      <c r="B4" s="508">
        <v>2</v>
      </c>
      <c r="C4" s="509">
        <v>3</v>
      </c>
      <c r="D4" s="509">
        <v>4</v>
      </c>
      <c r="E4" s="509">
        <v>6</v>
      </c>
      <c r="F4" s="537">
        <v>7</v>
      </c>
      <c r="G4" s="543">
        <v>9</v>
      </c>
      <c r="H4" s="637">
        <f>G4+1</f>
        <v>10</v>
      </c>
      <c r="I4" s="548">
        <f t="shared" ref="I4:S4" si="0">H4+1</f>
        <v>11</v>
      </c>
      <c r="J4" s="638">
        <f t="shared" si="0"/>
        <v>12</v>
      </c>
      <c r="K4" s="544">
        <f t="shared" si="0"/>
        <v>13</v>
      </c>
      <c r="L4" s="637">
        <f t="shared" si="0"/>
        <v>14</v>
      </c>
      <c r="M4" s="548">
        <f t="shared" si="0"/>
        <v>15</v>
      </c>
      <c r="N4" s="638">
        <f t="shared" si="0"/>
        <v>16</v>
      </c>
      <c r="O4" s="544">
        <f t="shared" si="0"/>
        <v>17</v>
      </c>
      <c r="P4" s="637">
        <f t="shared" si="0"/>
        <v>18</v>
      </c>
      <c r="Q4" s="548">
        <f t="shared" si="0"/>
        <v>19</v>
      </c>
      <c r="R4" s="548">
        <f t="shared" si="0"/>
        <v>20</v>
      </c>
      <c r="S4" s="548">
        <f t="shared" si="0"/>
        <v>21</v>
      </c>
    </row>
    <row r="5" spans="1:21" ht="0.75" customHeight="1">
      <c r="A5" s="626"/>
      <c r="B5" s="510"/>
      <c r="C5" s="509" t="s">
        <v>793</v>
      </c>
      <c r="D5" s="509"/>
      <c r="E5" s="511"/>
      <c r="F5" s="516"/>
      <c r="G5" s="522"/>
      <c r="H5" s="519">
        <f>'с 21.12.2013-20.12.2014'!I12</f>
        <v>1</v>
      </c>
      <c r="I5" s="512"/>
      <c r="J5" s="512"/>
      <c r="K5" s="525"/>
      <c r="L5" s="512"/>
      <c r="M5" s="512"/>
      <c r="N5" s="512"/>
      <c r="O5" s="525"/>
      <c r="P5" s="512"/>
      <c r="Q5" s="512"/>
      <c r="R5" s="512"/>
      <c r="S5" s="512"/>
    </row>
    <row r="6" spans="1:21" hidden="1">
      <c r="A6" s="627"/>
      <c r="B6" s="613"/>
      <c r="C6" s="503"/>
      <c r="D6" s="503"/>
      <c r="E6" s="503"/>
      <c r="F6" s="430">
        <f>'с 21.12.2013-20.12.2014'!H12</f>
        <v>1</v>
      </c>
      <c r="G6" s="523"/>
      <c r="H6" s="520"/>
      <c r="I6" s="513"/>
      <c r="J6" s="518"/>
      <c r="K6" s="526"/>
      <c r="L6" s="520"/>
      <c r="M6" s="513"/>
      <c r="N6" s="518"/>
      <c r="O6" s="526"/>
      <c r="P6" s="520"/>
      <c r="Q6" s="513"/>
      <c r="R6" s="513"/>
      <c r="S6" s="513"/>
    </row>
    <row r="7" spans="1:21" s="507" customFormat="1" ht="15.75" thickBot="1">
      <c r="A7" s="628"/>
      <c r="B7" s="614" t="s">
        <v>533</v>
      </c>
      <c r="C7" s="582"/>
      <c r="D7" s="582"/>
      <c r="E7" s="582"/>
      <c r="F7" s="583"/>
      <c r="G7" s="596"/>
      <c r="H7" s="597"/>
      <c r="I7" s="598"/>
      <c r="J7" s="599"/>
      <c r="K7" s="600"/>
      <c r="L7" s="597"/>
      <c r="M7" s="598"/>
      <c r="N7" s="599"/>
      <c r="O7" s="600"/>
      <c r="P7" s="597"/>
      <c r="Q7" s="598"/>
      <c r="R7" s="598"/>
      <c r="S7" s="598"/>
    </row>
    <row r="8" spans="1:21" ht="32.25" thickBot="1">
      <c r="A8" s="554">
        <v>1</v>
      </c>
      <c r="B8" s="615" t="s">
        <v>501</v>
      </c>
      <c r="C8" s="578" t="s">
        <v>470</v>
      </c>
      <c r="D8" s="578">
        <v>8852</v>
      </c>
      <c r="E8" s="578">
        <f>'стоимость содержания'!K38*F6/100</f>
        <v>25.545528658944008</v>
      </c>
      <c r="F8" s="606">
        <f>ROUND(PRODUCT(E8*D8),2)</f>
        <v>226129.02</v>
      </c>
      <c r="G8" s="535">
        <f>H8+I8+J8+K8+L8+M8+N8</f>
        <v>0</v>
      </c>
      <c r="H8" s="591">
        <v>0</v>
      </c>
      <c r="I8" s="592">
        <v>0</v>
      </c>
      <c r="J8" s="593">
        <v>0</v>
      </c>
      <c r="K8" s="535">
        <v>0</v>
      </c>
      <c r="L8" s="591">
        <v>0</v>
      </c>
      <c r="M8" s="592">
        <v>0</v>
      </c>
      <c r="N8" s="593">
        <v>0</v>
      </c>
      <c r="O8" s="535">
        <f t="shared" ref="O8:O13" si="1">P8+Q8+R8+S8</f>
        <v>226129.02000000002</v>
      </c>
      <c r="P8" s="591">
        <v>0</v>
      </c>
      <c r="Q8" s="592">
        <f>ROUND(PRODUCT(F8/67*6),2)</f>
        <v>20250.36</v>
      </c>
      <c r="R8" s="592">
        <f>ROUND(PRODUCT(F8/67*31),2)</f>
        <v>104626.86</v>
      </c>
      <c r="S8" s="594">
        <f>ROUND(PRODUCT(F8/67*30),2)</f>
        <v>101251.8</v>
      </c>
      <c r="T8" s="344">
        <f>O8+K8+G8</f>
        <v>226129.02000000002</v>
      </c>
      <c r="U8" s="344">
        <f>F8-T8</f>
        <v>0</v>
      </c>
    </row>
    <row r="9" spans="1:21" ht="21.75" thickBot="1">
      <c r="A9" s="629">
        <f>A8+1</f>
        <v>2</v>
      </c>
      <c r="B9" s="616" t="s">
        <v>638</v>
      </c>
      <c r="C9" s="515" t="s">
        <v>470</v>
      </c>
      <c r="D9" s="899">
        <v>789</v>
      </c>
      <c r="E9" s="601">
        <f>'стоимость содержания'!K41*F6/100</f>
        <v>65.842239560831999</v>
      </c>
      <c r="F9" s="602">
        <f>ROUND(PRODUCT(D9*E9),2)</f>
        <v>51949.53</v>
      </c>
      <c r="G9" s="556">
        <f t="shared" ref="G9:G13" si="2">H9+I9+J9+K9+L9+M9+N9</f>
        <v>0</v>
      </c>
      <c r="H9" s="603">
        <v>0</v>
      </c>
      <c r="I9" s="604">
        <v>0</v>
      </c>
      <c r="J9" s="605">
        <v>0</v>
      </c>
      <c r="K9" s="556">
        <v>0</v>
      </c>
      <c r="L9" s="603">
        <v>0</v>
      </c>
      <c r="M9" s="604">
        <v>0</v>
      </c>
      <c r="N9" s="605">
        <v>0</v>
      </c>
      <c r="O9" s="556">
        <f t="shared" si="1"/>
        <v>51949.53</v>
      </c>
      <c r="P9" s="603">
        <v>0</v>
      </c>
      <c r="Q9" s="592">
        <f>ROUND(PRODUCT(F9/67*6),2)</f>
        <v>4652.2</v>
      </c>
      <c r="R9" s="592">
        <f t="shared" ref="R9:R13" si="3">ROUND(PRODUCT(F9/67*31),2)</f>
        <v>24036.35</v>
      </c>
      <c r="S9" s="594">
        <f t="shared" ref="S9:S13" si="4">ROUND(PRODUCT(F9/67*30),2)</f>
        <v>23260.98</v>
      </c>
      <c r="T9" s="344">
        <f t="shared" ref="T9:T40" si="5">O9+K9+G9</f>
        <v>51949.53</v>
      </c>
      <c r="U9" s="344">
        <f t="shared" ref="U9:U40" si="6">F9-T9</f>
        <v>0</v>
      </c>
    </row>
    <row r="10" spans="1:21" ht="21.75" thickBot="1">
      <c r="A10" s="554">
        <f>A9+1</f>
        <v>3</v>
      </c>
      <c r="B10" s="617" t="s">
        <v>637</v>
      </c>
      <c r="C10" s="578" t="s">
        <v>470</v>
      </c>
      <c r="D10" s="578">
        <v>230</v>
      </c>
      <c r="E10" s="595">
        <f>'стоимость содержания'!K42*F6/100</f>
        <v>5.4581011301375995</v>
      </c>
      <c r="F10" s="590">
        <f>ROUND(PRODUCT(D10*E10),2)</f>
        <v>1255.3599999999999</v>
      </c>
      <c r="G10" s="535">
        <f t="shared" si="2"/>
        <v>0</v>
      </c>
      <c r="H10" s="591">
        <v>0</v>
      </c>
      <c r="I10" s="592">
        <v>0</v>
      </c>
      <c r="J10" s="593">
        <v>0</v>
      </c>
      <c r="K10" s="535">
        <v>0</v>
      </c>
      <c r="L10" s="591">
        <v>0</v>
      </c>
      <c r="M10" s="592">
        <v>0</v>
      </c>
      <c r="N10" s="593">
        <v>0</v>
      </c>
      <c r="O10" s="535">
        <f t="shared" si="1"/>
        <v>1255.3499999999999</v>
      </c>
      <c r="P10" s="591">
        <v>0</v>
      </c>
      <c r="Q10" s="592">
        <f>ROUND(PRODUCT(F10/67*6),2)-0.01</f>
        <v>112.41</v>
      </c>
      <c r="R10" s="592">
        <f t="shared" si="3"/>
        <v>580.84</v>
      </c>
      <c r="S10" s="594">
        <f t="shared" si="4"/>
        <v>562.1</v>
      </c>
      <c r="T10" s="344">
        <f t="shared" si="5"/>
        <v>1255.3499999999999</v>
      </c>
      <c r="U10" s="344">
        <f t="shared" si="6"/>
        <v>9.9999999999909051E-3</v>
      </c>
    </row>
    <row r="11" spans="1:21" ht="15.75" thickBot="1">
      <c r="A11" s="554">
        <f>A10+1</f>
        <v>4</v>
      </c>
      <c r="B11" s="615" t="s">
        <v>32</v>
      </c>
      <c r="C11" s="578" t="s">
        <v>21</v>
      </c>
      <c r="D11" s="578">
        <v>92</v>
      </c>
      <c r="E11" s="595">
        <f>'стоимость содержания'!K39*F6</f>
        <v>1691.1900932161534</v>
      </c>
      <c r="F11" s="590">
        <f>ROUND(PRODUCT(D11*E11),2)</f>
        <v>155589.49</v>
      </c>
      <c r="G11" s="535">
        <f t="shared" si="2"/>
        <v>0</v>
      </c>
      <c r="H11" s="591">
        <v>0</v>
      </c>
      <c r="I11" s="592">
        <v>0</v>
      </c>
      <c r="J11" s="593">
        <v>0</v>
      </c>
      <c r="K11" s="535">
        <v>0</v>
      </c>
      <c r="L11" s="591">
        <v>0</v>
      </c>
      <c r="M11" s="592">
        <v>0</v>
      </c>
      <c r="N11" s="593">
        <v>0</v>
      </c>
      <c r="O11" s="535">
        <f t="shared" si="1"/>
        <v>155589.51</v>
      </c>
      <c r="P11" s="591">
        <v>0</v>
      </c>
      <c r="Q11" s="592">
        <f>ROUND(PRODUCT(F11/67*6),2)+0.01</f>
        <v>13933.4</v>
      </c>
      <c r="R11" s="592">
        <f t="shared" si="3"/>
        <v>71989.17</v>
      </c>
      <c r="S11" s="594">
        <f t="shared" si="4"/>
        <v>69666.94</v>
      </c>
      <c r="T11" s="344">
        <f t="shared" si="5"/>
        <v>155589.51</v>
      </c>
      <c r="U11" s="344">
        <f t="shared" si="6"/>
        <v>-2.0000000018626451E-2</v>
      </c>
    </row>
    <row r="12" spans="1:21" ht="21.75" thickBot="1">
      <c r="A12" s="554">
        <f>A11+1</f>
        <v>5</v>
      </c>
      <c r="B12" s="618" t="s">
        <v>731</v>
      </c>
      <c r="C12" s="578" t="s">
        <v>21</v>
      </c>
      <c r="D12" s="578">
        <v>98</v>
      </c>
      <c r="E12" s="578">
        <f>'стоимость содержания'!K40*F6</f>
        <v>253.59748788326402</v>
      </c>
      <c r="F12" s="590">
        <f>ROUND(PRODUCT(D12*E12),2)</f>
        <v>24852.55</v>
      </c>
      <c r="G12" s="535">
        <f t="shared" si="2"/>
        <v>0</v>
      </c>
      <c r="H12" s="591">
        <v>0</v>
      </c>
      <c r="I12" s="592">
        <v>0</v>
      </c>
      <c r="J12" s="593">
        <v>0</v>
      </c>
      <c r="K12" s="535">
        <v>0</v>
      </c>
      <c r="L12" s="591">
        <v>0</v>
      </c>
      <c r="M12" s="592">
        <v>0</v>
      </c>
      <c r="N12" s="593">
        <v>0</v>
      </c>
      <c r="O12" s="535">
        <f t="shared" si="1"/>
        <v>24852.550000000003</v>
      </c>
      <c r="P12" s="591">
        <v>0</v>
      </c>
      <c r="Q12" s="592">
        <f t="shared" ref="Q12" si="7">ROUND(PRODUCT(F12/67*6),2)</f>
        <v>2225.6</v>
      </c>
      <c r="R12" s="592">
        <f t="shared" si="3"/>
        <v>11498.94</v>
      </c>
      <c r="S12" s="594">
        <f t="shared" si="4"/>
        <v>11128.01</v>
      </c>
      <c r="T12" s="344">
        <f t="shared" si="5"/>
        <v>24852.550000000003</v>
      </c>
      <c r="U12" s="344">
        <f t="shared" si="6"/>
        <v>0</v>
      </c>
    </row>
    <row r="13" spans="1:21" ht="15.75" thickBot="1">
      <c r="A13" s="554">
        <f>A12+1</f>
        <v>6</v>
      </c>
      <c r="B13" s="618" t="s">
        <v>787</v>
      </c>
      <c r="C13" s="550" t="s">
        <v>470</v>
      </c>
      <c r="D13" s="578">
        <v>8852</v>
      </c>
      <c r="E13" s="578">
        <f>'стоимость содержания'!K32*F6/100</f>
        <v>1.3260692735999999</v>
      </c>
      <c r="F13" s="590">
        <f>ROUND(PRODUCT(D13*E13),2)</f>
        <v>11738.37</v>
      </c>
      <c r="G13" s="535">
        <f t="shared" si="2"/>
        <v>0</v>
      </c>
      <c r="H13" s="591">
        <v>0</v>
      </c>
      <c r="I13" s="592">
        <v>0</v>
      </c>
      <c r="J13" s="593">
        <v>0</v>
      </c>
      <c r="K13" s="535">
        <v>0</v>
      </c>
      <c r="L13" s="591">
        <v>0</v>
      </c>
      <c r="M13" s="592">
        <v>0</v>
      </c>
      <c r="N13" s="593">
        <v>0</v>
      </c>
      <c r="O13" s="535">
        <f t="shared" si="1"/>
        <v>11738.39</v>
      </c>
      <c r="P13" s="591">
        <v>0</v>
      </c>
      <c r="Q13" s="592">
        <f>ROUND(PRODUCT(F13/67*6),2)+0.01</f>
        <v>1051.21</v>
      </c>
      <c r="R13" s="592">
        <f t="shared" si="3"/>
        <v>5431.19</v>
      </c>
      <c r="S13" s="594">
        <f t="shared" si="4"/>
        <v>5255.99</v>
      </c>
      <c r="T13" s="344">
        <f t="shared" si="5"/>
        <v>11738.39</v>
      </c>
      <c r="U13" s="344">
        <f t="shared" si="6"/>
        <v>-1.9999999998617568E-2</v>
      </c>
    </row>
    <row r="14" spans="1:21" s="507" customFormat="1" ht="15.75" thickBot="1">
      <c r="A14" s="628"/>
      <c r="B14" s="619" t="s">
        <v>534</v>
      </c>
      <c r="C14" s="584"/>
      <c r="D14" s="584"/>
      <c r="E14" s="584"/>
      <c r="F14" s="585"/>
      <c r="G14" s="586"/>
      <c r="H14" s="587"/>
      <c r="I14" s="588"/>
      <c r="J14" s="589"/>
      <c r="K14" s="586"/>
      <c r="L14" s="587"/>
      <c r="M14" s="588"/>
      <c r="N14" s="589"/>
      <c r="O14" s="586"/>
      <c r="P14" s="587"/>
      <c r="Q14" s="588"/>
      <c r="R14" s="588"/>
      <c r="S14" s="588"/>
      <c r="T14" s="344">
        <f t="shared" si="5"/>
        <v>0</v>
      </c>
      <c r="U14" s="344"/>
    </row>
    <row r="15" spans="1:21" ht="21.75" thickBot="1">
      <c r="A15" s="554">
        <v>1</v>
      </c>
      <c r="B15" s="618" t="s">
        <v>738</v>
      </c>
      <c r="C15" s="578" t="s">
        <v>470</v>
      </c>
      <c r="D15" s="578">
        <v>1400</v>
      </c>
      <c r="E15" s="578">
        <f>'стоимость содержания'!K8*H5/100</f>
        <v>17.481091185995041</v>
      </c>
      <c r="F15" s="579">
        <f>D15*E15</f>
        <v>24473.527660393058</v>
      </c>
      <c r="G15" s="552">
        <f>H15+I15+J15</f>
        <v>8960.2532964280599</v>
      </c>
      <c r="H15" s="591">
        <f>F15/183*6</f>
        <v>802.41074296370675</v>
      </c>
      <c r="I15" s="592">
        <f>F15/183*30</f>
        <v>4012.053714818534</v>
      </c>
      <c r="J15" s="593">
        <f>F15/183*31</f>
        <v>4145.7888386458189</v>
      </c>
      <c r="K15" s="535">
        <f>L15+M15+N15</f>
        <v>12303.631392110172</v>
      </c>
      <c r="L15" s="591">
        <f>F15/183*30</f>
        <v>4012.053714818534</v>
      </c>
      <c r="M15" s="592">
        <f>F15/183*31</f>
        <v>4145.7888386458189</v>
      </c>
      <c r="N15" s="593">
        <f>F15/183*31</f>
        <v>4145.7888386458189</v>
      </c>
      <c r="O15" s="535">
        <f>P15+Q15+R15+S15</f>
        <v>3209.642971854827</v>
      </c>
      <c r="P15" s="591">
        <f>F15/183*24</f>
        <v>3209.642971854827</v>
      </c>
      <c r="Q15" s="592">
        <v>0</v>
      </c>
      <c r="R15" s="592">
        <v>0</v>
      </c>
      <c r="S15" s="594">
        <v>0</v>
      </c>
      <c r="T15" s="344">
        <f t="shared" si="5"/>
        <v>24473.527660393062</v>
      </c>
      <c r="U15" s="344">
        <f t="shared" si="6"/>
        <v>0</v>
      </c>
    </row>
    <row r="16" spans="1:21" ht="15.75" thickBot="1">
      <c r="A16" s="554">
        <f>A15+1</f>
        <v>2</v>
      </c>
      <c r="B16" s="618" t="s">
        <v>739</v>
      </c>
      <c r="C16" s="578" t="s">
        <v>470</v>
      </c>
      <c r="D16" s="578">
        <v>11227</v>
      </c>
      <c r="E16" s="578">
        <f>'стоимость содержания'!K9*H5/100</f>
        <v>31.190489017876807</v>
      </c>
      <c r="F16" s="579">
        <f>D16*E16</f>
        <v>350175.62020370289</v>
      </c>
      <c r="G16" s="552">
        <f t="shared" ref="G16:G40" si="8">H16+I16+J16</f>
        <v>128206.37461009888</v>
      </c>
      <c r="H16" s="591">
        <f>F16/183*6</f>
        <v>11481.167875531242</v>
      </c>
      <c r="I16" s="592">
        <f t="shared" ref="I16:I17" si="9">F16/183*30</f>
        <v>57405.839377656215</v>
      </c>
      <c r="J16" s="593">
        <f t="shared" ref="J16:J17" si="10">F16/183*31</f>
        <v>59319.367356911418</v>
      </c>
      <c r="K16" s="535">
        <f t="shared" ref="K16:K40" si="11">L16+M16+N16</f>
        <v>176044.57409147907</v>
      </c>
      <c r="L16" s="591">
        <f t="shared" ref="L16:L17" si="12">F16/183*30</f>
        <v>57405.839377656215</v>
      </c>
      <c r="M16" s="592">
        <f t="shared" ref="M16:M17" si="13">F16/183*31</f>
        <v>59319.367356911418</v>
      </c>
      <c r="N16" s="593">
        <f t="shared" ref="N16:N17" si="14">F16/183*31</f>
        <v>59319.367356911418</v>
      </c>
      <c r="O16" s="535">
        <f>P16+Q16+R16+S16</f>
        <v>45924.671502124969</v>
      </c>
      <c r="P16" s="591">
        <f t="shared" ref="P16:P17" si="15">F16/183*24</f>
        <v>45924.671502124969</v>
      </c>
      <c r="Q16" s="592">
        <v>0</v>
      </c>
      <c r="R16" s="592">
        <v>0</v>
      </c>
      <c r="S16" s="594">
        <v>0</v>
      </c>
      <c r="T16" s="344">
        <f t="shared" si="5"/>
        <v>350175.62020370294</v>
      </c>
      <c r="U16" s="344">
        <f t="shared" si="6"/>
        <v>0</v>
      </c>
    </row>
    <row r="17" spans="1:21" ht="15.75" thickBot="1">
      <c r="A17" s="554">
        <f t="shared" ref="A17:A18" si="16">A16+1</f>
        <v>3</v>
      </c>
      <c r="B17" s="615" t="s">
        <v>32</v>
      </c>
      <c r="C17" s="578" t="s">
        <v>21</v>
      </c>
      <c r="D17" s="578">
        <v>92</v>
      </c>
      <c r="E17" s="578">
        <f>'стоимость содержания'!K10*H5</f>
        <v>1849.1567693644802</v>
      </c>
      <c r="F17" s="579">
        <f>D17*E17</f>
        <v>170122.42278153216</v>
      </c>
      <c r="G17" s="552">
        <f t="shared" si="8"/>
        <v>62285.258614003578</v>
      </c>
      <c r="H17" s="591">
        <f>F17/183*6</f>
        <v>5577.7843534928579</v>
      </c>
      <c r="I17" s="592">
        <f t="shared" si="9"/>
        <v>27888.92176746429</v>
      </c>
      <c r="J17" s="593">
        <f t="shared" si="10"/>
        <v>28818.552493046431</v>
      </c>
      <c r="K17" s="535">
        <f t="shared" si="11"/>
        <v>85526.026753557147</v>
      </c>
      <c r="L17" s="591">
        <f t="shared" si="12"/>
        <v>27888.92176746429</v>
      </c>
      <c r="M17" s="592">
        <f t="shared" si="13"/>
        <v>28818.552493046431</v>
      </c>
      <c r="N17" s="593">
        <f t="shared" si="14"/>
        <v>28818.552493046431</v>
      </c>
      <c r="O17" s="535">
        <f t="shared" ref="O17:O40" si="17">P17+Q17+R17+S17</f>
        <v>22311.137413971432</v>
      </c>
      <c r="P17" s="591">
        <f t="shared" si="15"/>
        <v>22311.137413971432</v>
      </c>
      <c r="Q17" s="592">
        <v>0</v>
      </c>
      <c r="R17" s="592">
        <v>0</v>
      </c>
      <c r="S17" s="594">
        <v>0</v>
      </c>
      <c r="T17" s="344">
        <f t="shared" si="5"/>
        <v>170122.42278153216</v>
      </c>
      <c r="U17" s="344">
        <f t="shared" si="6"/>
        <v>0</v>
      </c>
    </row>
    <row r="18" spans="1:21" ht="15.75" thickBot="1">
      <c r="A18" s="554">
        <f t="shared" si="16"/>
        <v>4</v>
      </c>
      <c r="B18" s="615" t="s">
        <v>833</v>
      </c>
      <c r="C18" s="581" t="s">
        <v>470</v>
      </c>
      <c r="D18" s="581">
        <v>78286</v>
      </c>
      <c r="E18" s="581">
        <f>'стоимость содержания'!K11*H5/100</f>
        <v>14.945317392467199</v>
      </c>
      <c r="F18" s="579">
        <f>D18*E18</f>
        <v>1170009.1173866871</v>
      </c>
      <c r="G18" s="552">
        <f t="shared" si="8"/>
        <v>502504.26776301442</v>
      </c>
      <c r="H18" s="591">
        <f>H20</f>
        <v>6162.9379247617908</v>
      </c>
      <c r="I18" s="592">
        <f>I20+I21+I19</f>
        <v>300952.24826525006</v>
      </c>
      <c r="J18" s="593">
        <f>J19+J20+J21</f>
        <v>195389.08157300259</v>
      </c>
      <c r="K18" s="535">
        <f t="shared" si="11"/>
        <v>585140.0883982142</v>
      </c>
      <c r="L18" s="591">
        <f>L19+L20+L21</f>
        <v>194361.92525220895</v>
      </c>
      <c r="M18" s="592">
        <f>M19+M20+M21</f>
        <v>195389.08157300259</v>
      </c>
      <c r="N18" s="593">
        <f>N19+N20+N21</f>
        <v>195389.08157300259</v>
      </c>
      <c r="O18" s="535">
        <f t="shared" si="17"/>
        <v>131242.07471208827</v>
      </c>
      <c r="P18" s="591">
        <f>P19+P20+P21</f>
        <v>131242.07471208827</v>
      </c>
      <c r="Q18" s="592">
        <v>0</v>
      </c>
      <c r="R18" s="592">
        <v>0</v>
      </c>
      <c r="S18" s="594">
        <v>0</v>
      </c>
      <c r="T18" s="344">
        <f t="shared" si="5"/>
        <v>1218886.4308733169</v>
      </c>
      <c r="U18" s="344">
        <f>F18-T18</f>
        <v>-48877.313486629864</v>
      </c>
    </row>
    <row r="19" spans="1:21">
      <c r="A19" s="630" t="s">
        <v>795</v>
      </c>
      <c r="B19" s="620" t="s">
        <v>788</v>
      </c>
      <c r="C19" s="580" t="s">
        <v>470</v>
      </c>
      <c r="D19" s="580">
        <f>D18</f>
        <v>78286</v>
      </c>
      <c r="E19" s="580">
        <f>'стоимость содержания'!F12*H5/100</f>
        <v>2.7231005036160001</v>
      </c>
      <c r="F19" s="577">
        <f>E19*D19</f>
        <v>213180.64602608219</v>
      </c>
      <c r="G19" s="568">
        <f>H19+I19+J19</f>
        <v>106590.3230130411</v>
      </c>
      <c r="H19" s="569"/>
      <c r="I19" s="570">
        <f>F19/2</f>
        <v>106590.3230130411</v>
      </c>
      <c r="J19" s="571"/>
      <c r="K19" s="549">
        <f t="shared" si="11"/>
        <v>0</v>
      </c>
      <c r="L19" s="569"/>
      <c r="M19" s="570"/>
      <c r="N19" s="571"/>
      <c r="O19" s="549">
        <f t="shared" si="17"/>
        <v>106590.3230130411</v>
      </c>
      <c r="P19" s="569">
        <f>I19</f>
        <v>106590.3230130411</v>
      </c>
      <c r="Q19" s="570">
        <v>0</v>
      </c>
      <c r="R19" s="570">
        <v>0</v>
      </c>
      <c r="S19" s="570">
        <v>0</v>
      </c>
      <c r="T19" s="344">
        <f t="shared" si="5"/>
        <v>213180.64602608219</v>
      </c>
      <c r="U19" s="344">
        <f t="shared" si="6"/>
        <v>0</v>
      </c>
    </row>
    <row r="20" spans="1:21">
      <c r="A20" s="631" t="s">
        <v>796</v>
      </c>
      <c r="B20" s="621" t="s">
        <v>789</v>
      </c>
      <c r="C20" s="514" t="s">
        <v>470</v>
      </c>
      <c r="D20" s="514">
        <f>D19</f>
        <v>78286</v>
      </c>
      <c r="E20" s="514">
        <f>'стоимость содержания'!F13/100*H5</f>
        <v>2.4010628554943998</v>
      </c>
      <c r="F20" s="517">
        <f>E20*D19</f>
        <v>187969.60670523459</v>
      </c>
      <c r="G20" s="531">
        <f t="shared" si="8"/>
        <v>68819.473493173326</v>
      </c>
      <c r="H20" s="521">
        <f>F20/183*6</f>
        <v>6162.9379247617908</v>
      </c>
      <c r="I20" s="434">
        <f>F20/183*30</f>
        <v>30814.68962380895</v>
      </c>
      <c r="J20" s="437">
        <f t="shared" ref="J20" si="18">F20/183*31</f>
        <v>31841.845944602584</v>
      </c>
      <c r="K20" s="524">
        <f t="shared" si="11"/>
        <v>94498.381513014116</v>
      </c>
      <c r="L20" s="521">
        <f t="shared" ref="L20" si="19">F20/183*30</f>
        <v>30814.68962380895</v>
      </c>
      <c r="M20" s="434">
        <f t="shared" ref="M20" si="20">F20/183*31</f>
        <v>31841.845944602584</v>
      </c>
      <c r="N20" s="437">
        <f t="shared" ref="N20" si="21">F20/183*31</f>
        <v>31841.845944602584</v>
      </c>
      <c r="O20" s="524">
        <f t="shared" si="17"/>
        <v>24651.751699047163</v>
      </c>
      <c r="P20" s="521">
        <f t="shared" ref="P20" si="22">F20/183*24</f>
        <v>24651.751699047163</v>
      </c>
      <c r="Q20" s="434">
        <v>0</v>
      </c>
      <c r="R20" s="434">
        <v>0</v>
      </c>
      <c r="S20" s="434">
        <v>0</v>
      </c>
      <c r="T20" s="344">
        <f t="shared" si="5"/>
        <v>187969.60670523462</v>
      </c>
      <c r="U20" s="344">
        <f t="shared" si="6"/>
        <v>0</v>
      </c>
    </row>
    <row r="21" spans="1:21" ht="15.75" thickBot="1">
      <c r="A21" s="632" t="s">
        <v>797</v>
      </c>
      <c r="B21" s="622" t="s">
        <v>834</v>
      </c>
      <c r="C21" s="574" t="s">
        <v>470</v>
      </c>
      <c r="D21" s="574">
        <f>D20</f>
        <v>78286</v>
      </c>
      <c r="E21" s="574">
        <f>'стоимость содержания'!F14*H5/100</f>
        <v>10.445497</v>
      </c>
      <c r="F21" s="575">
        <f t="shared" ref="F21:F32" si="23">D21*E21</f>
        <v>817736.17814199999</v>
      </c>
      <c r="G21" s="547">
        <f t="shared" si="8"/>
        <v>327094.4712568</v>
      </c>
      <c r="H21" s="528"/>
      <c r="I21" s="529">
        <f>F21/5</f>
        <v>163547.2356284</v>
      </c>
      <c r="J21" s="530">
        <f>F21/5</f>
        <v>163547.2356284</v>
      </c>
      <c r="K21" s="527">
        <f t="shared" si="11"/>
        <v>490641.70688519999</v>
      </c>
      <c r="L21" s="528">
        <f>F21/5</f>
        <v>163547.2356284</v>
      </c>
      <c r="M21" s="529">
        <f>F21/5</f>
        <v>163547.2356284</v>
      </c>
      <c r="N21" s="530">
        <f>F21/5</f>
        <v>163547.2356284</v>
      </c>
      <c r="O21" s="527">
        <f t="shared" si="17"/>
        <v>0</v>
      </c>
      <c r="P21" s="528"/>
      <c r="Q21" s="529">
        <v>0</v>
      </c>
      <c r="R21" s="529">
        <v>0</v>
      </c>
      <c r="S21" s="529">
        <v>0</v>
      </c>
      <c r="T21" s="344">
        <f t="shared" si="5"/>
        <v>817736.17814199999</v>
      </c>
      <c r="U21" s="344">
        <f t="shared" si="6"/>
        <v>0</v>
      </c>
    </row>
    <row r="22" spans="1:21" ht="15.75" thickBot="1">
      <c r="A22" s="554">
        <f>A18+1</f>
        <v>5</v>
      </c>
      <c r="B22" s="615" t="s">
        <v>42</v>
      </c>
      <c r="C22" s="578" t="s">
        <v>21</v>
      </c>
      <c r="D22" s="578">
        <v>61</v>
      </c>
      <c r="E22" s="578">
        <f>'стоимость содержания'!K15*H5</f>
        <v>69.266673072000003</v>
      </c>
      <c r="F22" s="579">
        <f t="shared" si="23"/>
        <v>4225.2670573920004</v>
      </c>
      <c r="G22" s="552">
        <f t="shared" si="8"/>
        <v>1741.85233167456</v>
      </c>
      <c r="H22" s="591">
        <f>H25</f>
        <v>777.41801832383999</v>
      </c>
      <c r="I22" s="592">
        <f>I23+I24+I25</f>
        <v>711.27091128960001</v>
      </c>
      <c r="J22" s="593">
        <f>J23+J24+J25</f>
        <v>253.16340206111997</v>
      </c>
      <c r="K22" s="535">
        <f t="shared" si="11"/>
        <v>759.49020618335987</v>
      </c>
      <c r="L22" s="591">
        <f>L23+L24+L25</f>
        <v>253.16340206111997</v>
      </c>
      <c r="M22" s="592">
        <f>M23+M24+M25</f>
        <v>253.16340206111997</v>
      </c>
      <c r="N22" s="593">
        <f>N23+N24+N25</f>
        <v>253.16340206111997</v>
      </c>
      <c r="O22" s="535">
        <f t="shared" si="17"/>
        <v>711.27091128960001</v>
      </c>
      <c r="P22" s="591">
        <f>P23+P24+P25</f>
        <v>711.27091128960001</v>
      </c>
      <c r="Q22" s="592">
        <v>0</v>
      </c>
      <c r="R22" s="592">
        <v>0</v>
      </c>
      <c r="S22" s="594">
        <v>0</v>
      </c>
      <c r="T22" s="344">
        <f t="shared" si="5"/>
        <v>3212.61344914752</v>
      </c>
      <c r="U22" s="344">
        <f t="shared" si="6"/>
        <v>1012.6536082444804</v>
      </c>
    </row>
    <row r="23" spans="1:21" ht="22.5">
      <c r="A23" s="630" t="s">
        <v>799</v>
      </c>
      <c r="B23" s="620" t="s">
        <v>801</v>
      </c>
      <c r="C23" s="536" t="s">
        <v>21</v>
      </c>
      <c r="D23" s="511">
        <v>61</v>
      </c>
      <c r="E23" s="576">
        <f>'стоимость содержания'!K18*H5</f>
        <v>23.320357747199999</v>
      </c>
      <c r="F23" s="577">
        <f t="shared" si="23"/>
        <v>1422.5418225792</v>
      </c>
      <c r="G23" s="568">
        <f t="shared" si="8"/>
        <v>711.27091128960001</v>
      </c>
      <c r="H23" s="569">
        <v>0</v>
      </c>
      <c r="I23" s="570">
        <f>F23/2</f>
        <v>711.27091128960001</v>
      </c>
      <c r="J23" s="571">
        <v>0</v>
      </c>
      <c r="K23" s="549">
        <f t="shared" si="11"/>
        <v>0</v>
      </c>
      <c r="L23" s="569">
        <v>0</v>
      </c>
      <c r="M23" s="570">
        <v>0</v>
      </c>
      <c r="N23" s="571">
        <v>0</v>
      </c>
      <c r="O23" s="549">
        <f t="shared" si="17"/>
        <v>711.27091128960001</v>
      </c>
      <c r="P23" s="569">
        <f>F23/2</f>
        <v>711.27091128960001</v>
      </c>
      <c r="Q23" s="570">
        <v>0</v>
      </c>
      <c r="R23" s="570">
        <v>0</v>
      </c>
      <c r="S23" s="570">
        <v>0</v>
      </c>
      <c r="T23" s="344">
        <f t="shared" si="5"/>
        <v>1422.5418225792</v>
      </c>
      <c r="U23" s="344">
        <f t="shared" si="6"/>
        <v>0</v>
      </c>
    </row>
    <row r="24" spans="1:21" ht="22.5">
      <c r="A24" s="633" t="s">
        <v>800</v>
      </c>
      <c r="B24" s="621" t="s">
        <v>205</v>
      </c>
      <c r="C24" s="431" t="s">
        <v>21</v>
      </c>
      <c r="D24" s="505">
        <v>61</v>
      </c>
      <c r="E24" s="504">
        <f>'стоимость содержания'!K16*H5</f>
        <v>16.600878823679999</v>
      </c>
      <c r="F24" s="518">
        <f t="shared" si="23"/>
        <v>1012.6536082444799</v>
      </c>
      <c r="G24" s="531">
        <f t="shared" si="8"/>
        <v>253.16340206111997</v>
      </c>
      <c r="H24" s="521">
        <v>0</v>
      </c>
      <c r="I24" s="434">
        <v>0</v>
      </c>
      <c r="J24" s="437">
        <f>F24/4</f>
        <v>253.16340206111997</v>
      </c>
      <c r="K24" s="524">
        <f t="shared" si="11"/>
        <v>759.49020618335987</v>
      </c>
      <c r="L24" s="521">
        <f>F24/4</f>
        <v>253.16340206111997</v>
      </c>
      <c r="M24" s="434">
        <f>F24/4</f>
        <v>253.16340206111997</v>
      </c>
      <c r="N24" s="437">
        <f>F24/4</f>
        <v>253.16340206111997</v>
      </c>
      <c r="O24" s="524">
        <f t="shared" si="17"/>
        <v>0</v>
      </c>
      <c r="P24" s="521">
        <v>0</v>
      </c>
      <c r="Q24" s="434">
        <v>0</v>
      </c>
      <c r="R24" s="434">
        <v>0</v>
      </c>
      <c r="S24" s="434">
        <v>0</v>
      </c>
      <c r="T24" s="344">
        <f t="shared" si="5"/>
        <v>1012.6536082444799</v>
      </c>
      <c r="U24" s="344">
        <f t="shared" si="6"/>
        <v>0</v>
      </c>
    </row>
    <row r="25" spans="1:21" ht="23.25" thickBot="1">
      <c r="A25" s="632" t="s">
        <v>802</v>
      </c>
      <c r="B25" s="622" t="s">
        <v>790</v>
      </c>
      <c r="C25" s="545" t="s">
        <v>21</v>
      </c>
      <c r="D25" s="572">
        <v>61</v>
      </c>
      <c r="E25" s="573">
        <f>'стоимость содержания'!F17*H5</f>
        <v>12.74455767744</v>
      </c>
      <c r="F25" s="546">
        <f t="shared" si="23"/>
        <v>777.41801832383999</v>
      </c>
      <c r="G25" s="547">
        <f t="shared" si="8"/>
        <v>777.41801832383999</v>
      </c>
      <c r="H25" s="528">
        <f>F25</f>
        <v>777.41801832383999</v>
      </c>
      <c r="I25" s="529">
        <v>0</v>
      </c>
      <c r="J25" s="530">
        <v>0</v>
      </c>
      <c r="K25" s="527">
        <f t="shared" si="11"/>
        <v>0</v>
      </c>
      <c r="L25" s="528">
        <v>0</v>
      </c>
      <c r="M25" s="529">
        <v>0</v>
      </c>
      <c r="N25" s="530">
        <v>0</v>
      </c>
      <c r="O25" s="527">
        <f t="shared" si="17"/>
        <v>0</v>
      </c>
      <c r="P25" s="528">
        <v>0</v>
      </c>
      <c r="Q25" s="529">
        <v>0</v>
      </c>
      <c r="R25" s="529">
        <v>0</v>
      </c>
      <c r="S25" s="529">
        <v>0</v>
      </c>
      <c r="T25" s="344">
        <f t="shared" si="5"/>
        <v>777.41801832383999</v>
      </c>
      <c r="U25" s="344">
        <f t="shared" si="6"/>
        <v>0</v>
      </c>
    </row>
    <row r="26" spans="1:21" ht="15.75" thickBot="1">
      <c r="A26" s="554">
        <v>6</v>
      </c>
      <c r="B26" s="615" t="s">
        <v>792</v>
      </c>
      <c r="C26" s="550" t="s">
        <v>791</v>
      </c>
      <c r="D26" s="550">
        <v>868</v>
      </c>
      <c r="E26" s="550">
        <f>'стоимость содержания'!K19*H5/100</f>
        <v>137.00897819136003</v>
      </c>
      <c r="F26" s="551">
        <f t="shared" si="23"/>
        <v>118923.79307010051</v>
      </c>
      <c r="G26" s="552">
        <f t="shared" si="8"/>
        <v>33310.755660188166</v>
      </c>
      <c r="H26" s="591">
        <f>H27+H28</f>
        <v>0</v>
      </c>
      <c r="I26" s="592">
        <f>I27+I28</f>
        <v>7159.6147853260827</v>
      </c>
      <c r="J26" s="593">
        <f>J27+J28</f>
        <v>26151.140874862085</v>
      </c>
      <c r="K26" s="535">
        <f t="shared" si="11"/>
        <v>78453.422624586252</v>
      </c>
      <c r="L26" s="591">
        <f>L27+L28</f>
        <v>26151.140874862085</v>
      </c>
      <c r="M26" s="592">
        <f>M27+M28</f>
        <v>26151.140874862085</v>
      </c>
      <c r="N26" s="593">
        <f>N27+N28</f>
        <v>26151.140874862085</v>
      </c>
      <c r="O26" s="535">
        <f t="shared" si="17"/>
        <v>7159.6147853260827</v>
      </c>
      <c r="P26" s="591">
        <f>P27+P28</f>
        <v>7159.6147853260827</v>
      </c>
      <c r="Q26" s="592">
        <v>0</v>
      </c>
      <c r="R26" s="592">
        <v>0</v>
      </c>
      <c r="S26" s="594">
        <v>0</v>
      </c>
      <c r="T26" s="344">
        <f t="shared" si="5"/>
        <v>118923.7930701005</v>
      </c>
      <c r="U26" s="344">
        <f t="shared" si="6"/>
        <v>0</v>
      </c>
    </row>
    <row r="27" spans="1:21" ht="22.5">
      <c r="A27" s="630" t="s">
        <v>805</v>
      </c>
      <c r="B27" s="620" t="s">
        <v>826</v>
      </c>
      <c r="C27" s="536" t="s">
        <v>791</v>
      </c>
      <c r="D27" s="536">
        <v>868</v>
      </c>
      <c r="E27" s="536">
        <f>'стоимость содержания'!F20*H5/100</f>
        <v>120.51216993024002</v>
      </c>
      <c r="F27" s="567">
        <f t="shared" si="23"/>
        <v>104604.56349944834</v>
      </c>
      <c r="G27" s="568">
        <f t="shared" si="8"/>
        <v>26151.140874862085</v>
      </c>
      <c r="H27" s="569">
        <v>0</v>
      </c>
      <c r="I27" s="570">
        <v>0</v>
      </c>
      <c r="J27" s="571">
        <f>F27/4</f>
        <v>26151.140874862085</v>
      </c>
      <c r="K27" s="549">
        <f t="shared" si="11"/>
        <v>78453.422624586252</v>
      </c>
      <c r="L27" s="569">
        <f>F27/4</f>
        <v>26151.140874862085</v>
      </c>
      <c r="M27" s="570">
        <f>F27/4</f>
        <v>26151.140874862085</v>
      </c>
      <c r="N27" s="571">
        <f>F27/4</f>
        <v>26151.140874862085</v>
      </c>
      <c r="O27" s="549">
        <f t="shared" si="17"/>
        <v>0</v>
      </c>
      <c r="P27" s="569">
        <v>0</v>
      </c>
      <c r="Q27" s="570">
        <v>0</v>
      </c>
      <c r="R27" s="570">
        <v>0</v>
      </c>
      <c r="S27" s="570">
        <v>0</v>
      </c>
      <c r="T27" s="344">
        <f t="shared" si="5"/>
        <v>104604.56349944834</v>
      </c>
      <c r="U27" s="344">
        <f t="shared" si="6"/>
        <v>0</v>
      </c>
    </row>
    <row r="28" spans="1:21" ht="23.25" thickBot="1">
      <c r="A28" s="632" t="s">
        <v>806</v>
      </c>
      <c r="B28" s="622" t="s">
        <v>803</v>
      </c>
      <c r="C28" s="545" t="s">
        <v>791</v>
      </c>
      <c r="D28" s="545">
        <v>868</v>
      </c>
      <c r="E28" s="545">
        <f>'стоимость содержания'!F21*H5/100</f>
        <v>16.496808261120005</v>
      </c>
      <c r="F28" s="546">
        <f t="shared" si="23"/>
        <v>14319.229570652165</v>
      </c>
      <c r="G28" s="547">
        <f t="shared" si="8"/>
        <v>7159.6147853260827</v>
      </c>
      <c r="H28" s="528">
        <v>0</v>
      </c>
      <c r="I28" s="529">
        <f>F28/2</f>
        <v>7159.6147853260827</v>
      </c>
      <c r="J28" s="530">
        <v>0</v>
      </c>
      <c r="K28" s="527">
        <f t="shared" si="11"/>
        <v>0</v>
      </c>
      <c r="L28" s="528">
        <v>0</v>
      </c>
      <c r="M28" s="529">
        <v>0</v>
      </c>
      <c r="N28" s="530">
        <v>0</v>
      </c>
      <c r="O28" s="527">
        <f t="shared" si="17"/>
        <v>7159.6147853260827</v>
      </c>
      <c r="P28" s="528">
        <f>F28/2</f>
        <v>7159.6147853260827</v>
      </c>
      <c r="Q28" s="529">
        <v>0</v>
      </c>
      <c r="R28" s="529">
        <v>0</v>
      </c>
      <c r="S28" s="529">
        <v>0</v>
      </c>
      <c r="T28" s="344">
        <f t="shared" si="5"/>
        <v>14319.229570652165</v>
      </c>
      <c r="U28" s="344">
        <f t="shared" si="6"/>
        <v>0</v>
      </c>
    </row>
    <row r="29" spans="1:21" ht="15.75" thickBot="1">
      <c r="A29" s="554">
        <v>7</v>
      </c>
      <c r="B29" s="615" t="s">
        <v>277</v>
      </c>
      <c r="C29" s="550" t="s">
        <v>470</v>
      </c>
      <c r="D29" s="550">
        <f>677+3.12</f>
        <v>680.12</v>
      </c>
      <c r="E29" s="550">
        <f>'стоимость содержания'!K31*H5</f>
        <v>427.53827491015687</v>
      </c>
      <c r="F29" s="551">
        <f t="shared" si="23"/>
        <v>290777.33153189591</v>
      </c>
      <c r="G29" s="552">
        <f t="shared" si="8"/>
        <v>290777.33153189591</v>
      </c>
      <c r="H29" s="591">
        <v>0</v>
      </c>
      <c r="I29" s="592">
        <v>0</v>
      </c>
      <c r="J29" s="593">
        <f>F29</f>
        <v>290777.33153189591</v>
      </c>
      <c r="K29" s="535">
        <f t="shared" si="11"/>
        <v>0</v>
      </c>
      <c r="L29" s="591">
        <v>0</v>
      </c>
      <c r="M29" s="592">
        <v>0</v>
      </c>
      <c r="N29" s="593">
        <v>0</v>
      </c>
      <c r="O29" s="535">
        <f t="shared" si="17"/>
        <v>0</v>
      </c>
      <c r="P29" s="591">
        <v>0</v>
      </c>
      <c r="Q29" s="592">
        <v>0</v>
      </c>
      <c r="R29" s="592">
        <v>0</v>
      </c>
      <c r="S29" s="594">
        <v>0</v>
      </c>
      <c r="T29" s="344">
        <f t="shared" si="5"/>
        <v>290777.33153189591</v>
      </c>
      <c r="U29" s="344">
        <f t="shared" si="6"/>
        <v>0</v>
      </c>
    </row>
    <row r="30" spans="1:21" ht="15.75" thickBot="1">
      <c r="A30" s="554">
        <v>8</v>
      </c>
      <c r="B30" s="615" t="s">
        <v>46</v>
      </c>
      <c r="C30" s="550" t="s">
        <v>470</v>
      </c>
      <c r="D30" s="550">
        <f t="shared" ref="D30:D35" si="24">677+3.12</f>
        <v>680.12</v>
      </c>
      <c r="E30" s="550">
        <f>'стоимость содержания'!K22*H5/100</f>
        <v>132.84092233987201</v>
      </c>
      <c r="F30" s="551">
        <f t="shared" si="23"/>
        <v>90347.768101793758</v>
      </c>
      <c r="G30" s="552">
        <f t="shared" si="8"/>
        <v>21607.156423290009</v>
      </c>
      <c r="H30" s="591">
        <v>0</v>
      </c>
      <c r="I30" s="592">
        <v>0</v>
      </c>
      <c r="J30" s="593">
        <f>J31+J32+J33+J34+J35</f>
        <v>21607.156423290009</v>
      </c>
      <c r="K30" s="553">
        <f>K31+K32+K33+K34+K35</f>
        <v>59893.399694587395</v>
      </c>
      <c r="L30" s="593">
        <f t="shared" ref="L30:S30" si="25">L31+L32+L33+L34+L35</f>
        <v>32507.191966793998</v>
      </c>
      <c r="M30" s="593">
        <f t="shared" si="25"/>
        <v>24722.556025665202</v>
      </c>
      <c r="N30" s="593">
        <f t="shared" si="25"/>
        <v>2663.6517021281938</v>
      </c>
      <c r="O30" s="553">
        <f t="shared" si="25"/>
        <v>8847.2119839163388</v>
      </c>
      <c r="P30" s="593">
        <f t="shared" si="25"/>
        <v>8847.2119839163388</v>
      </c>
      <c r="Q30" s="593">
        <f t="shared" si="25"/>
        <v>0</v>
      </c>
      <c r="R30" s="593">
        <f t="shared" si="25"/>
        <v>0</v>
      </c>
      <c r="S30" s="594">
        <f t="shared" si="25"/>
        <v>0</v>
      </c>
      <c r="T30" s="344">
        <f t="shared" si="5"/>
        <v>90347.768101793743</v>
      </c>
      <c r="U30" s="344">
        <f t="shared" si="6"/>
        <v>0</v>
      </c>
    </row>
    <row r="31" spans="1:21">
      <c r="A31" s="630" t="s">
        <v>807</v>
      </c>
      <c r="B31" s="620" t="s">
        <v>313</v>
      </c>
      <c r="C31" s="536" t="s">
        <v>470</v>
      </c>
      <c r="D31" s="536">
        <f t="shared" si="24"/>
        <v>680.12</v>
      </c>
      <c r="E31" s="536">
        <f>'стоимость содержания'!K23*H5/100</f>
        <v>31.769623630080002</v>
      </c>
      <c r="F31" s="567">
        <f t="shared" si="23"/>
        <v>21607.156423290009</v>
      </c>
      <c r="G31" s="568">
        <f t="shared" si="8"/>
        <v>21607.156423290009</v>
      </c>
      <c r="H31" s="569">
        <v>0</v>
      </c>
      <c r="I31" s="570">
        <v>0</v>
      </c>
      <c r="J31" s="571">
        <f>F31</f>
        <v>21607.156423290009</v>
      </c>
      <c r="K31" s="549">
        <f t="shared" si="11"/>
        <v>0</v>
      </c>
      <c r="L31" s="569">
        <v>0</v>
      </c>
      <c r="M31" s="570">
        <f>L31</f>
        <v>0</v>
      </c>
      <c r="N31" s="571">
        <v>0</v>
      </c>
      <c r="O31" s="549">
        <f t="shared" si="17"/>
        <v>0</v>
      </c>
      <c r="P31" s="569">
        <v>0</v>
      </c>
      <c r="Q31" s="570">
        <v>0</v>
      </c>
      <c r="R31" s="570">
        <v>0</v>
      </c>
      <c r="S31" s="570">
        <v>0</v>
      </c>
      <c r="T31" s="344">
        <f t="shared" si="5"/>
        <v>21607.156423290009</v>
      </c>
      <c r="U31" s="344">
        <f t="shared" si="6"/>
        <v>0</v>
      </c>
    </row>
    <row r="32" spans="1:21">
      <c r="A32" s="631" t="s">
        <v>808</v>
      </c>
      <c r="B32" s="621" t="s">
        <v>328</v>
      </c>
      <c r="C32" s="431" t="s">
        <v>470</v>
      </c>
      <c r="D32" s="431">
        <f t="shared" si="24"/>
        <v>680.12</v>
      </c>
      <c r="E32" s="431">
        <f>'стоимость содержания'!K24*H5/100</f>
        <v>47.796259434796795</v>
      </c>
      <c r="F32" s="518">
        <f t="shared" si="23"/>
        <v>32507.191966793998</v>
      </c>
      <c r="G32" s="531">
        <f t="shared" si="8"/>
        <v>0</v>
      </c>
      <c r="H32" s="521">
        <v>0</v>
      </c>
      <c r="I32" s="434">
        <v>0</v>
      </c>
      <c r="J32" s="437">
        <v>0</v>
      </c>
      <c r="K32" s="524">
        <f t="shared" si="11"/>
        <v>32507.191966793998</v>
      </c>
      <c r="L32" s="521">
        <f>F32</f>
        <v>32507.191966793998</v>
      </c>
      <c r="M32" s="434">
        <f>M31</f>
        <v>0</v>
      </c>
      <c r="N32" s="437">
        <v>0</v>
      </c>
      <c r="O32" s="524">
        <f t="shared" si="17"/>
        <v>0</v>
      </c>
      <c r="P32" s="521">
        <v>0</v>
      </c>
      <c r="Q32" s="434">
        <v>0</v>
      </c>
      <c r="R32" s="434">
        <v>0</v>
      </c>
      <c r="S32" s="434">
        <v>0</v>
      </c>
      <c r="T32" s="344">
        <f t="shared" si="5"/>
        <v>32507.191966793998</v>
      </c>
      <c r="U32" s="344">
        <f t="shared" si="6"/>
        <v>0</v>
      </c>
    </row>
    <row r="33" spans="1:21" ht="22.5">
      <c r="A33" s="631" t="s">
        <v>809</v>
      </c>
      <c r="B33" s="621" t="s">
        <v>354</v>
      </c>
      <c r="C33" s="431" t="s">
        <v>470</v>
      </c>
      <c r="D33" s="431">
        <f t="shared" si="24"/>
        <v>680.12</v>
      </c>
      <c r="E33" s="431">
        <f>'стоимость содержания'!K25*H5/100</f>
        <v>36.350285281516797</v>
      </c>
      <c r="F33" s="518">
        <f t="shared" ref="F33:F40" si="26">D33*E33</f>
        <v>24722.556025665202</v>
      </c>
      <c r="G33" s="531">
        <f t="shared" si="8"/>
        <v>0</v>
      </c>
      <c r="H33" s="521">
        <v>0</v>
      </c>
      <c r="I33" s="434">
        <v>0</v>
      </c>
      <c r="J33" s="437">
        <v>0</v>
      </c>
      <c r="K33" s="524">
        <f t="shared" si="11"/>
        <v>24722.556025665202</v>
      </c>
      <c r="L33" s="521">
        <v>0</v>
      </c>
      <c r="M33" s="434">
        <f>F33</f>
        <v>24722.556025665202</v>
      </c>
      <c r="N33" s="437">
        <v>0</v>
      </c>
      <c r="O33" s="524">
        <f t="shared" si="17"/>
        <v>0</v>
      </c>
      <c r="P33" s="521">
        <v>0</v>
      </c>
      <c r="Q33" s="434">
        <v>0</v>
      </c>
      <c r="R33" s="434">
        <v>0</v>
      </c>
      <c r="S33" s="434">
        <v>0</v>
      </c>
      <c r="T33" s="344">
        <f t="shared" si="5"/>
        <v>24722.556025665202</v>
      </c>
      <c r="U33" s="344">
        <f t="shared" si="6"/>
        <v>0</v>
      </c>
    </row>
    <row r="34" spans="1:21" ht="22.5">
      <c r="A34" s="631" t="s">
        <v>810</v>
      </c>
      <c r="B34" s="621" t="s">
        <v>358</v>
      </c>
      <c r="C34" s="431" t="s">
        <v>470</v>
      </c>
      <c r="D34" s="431">
        <f t="shared" si="24"/>
        <v>680.12</v>
      </c>
      <c r="E34" s="431">
        <f>'стоимость содержания'!K26*H5/100</f>
        <v>3.9164437189440009</v>
      </c>
      <c r="F34" s="518">
        <f t="shared" si="26"/>
        <v>2663.6517021281938</v>
      </c>
      <c r="G34" s="531">
        <f t="shared" si="8"/>
        <v>0</v>
      </c>
      <c r="H34" s="521">
        <v>0</v>
      </c>
      <c r="I34" s="434">
        <v>0</v>
      </c>
      <c r="J34" s="437">
        <v>0</v>
      </c>
      <c r="K34" s="524">
        <f t="shared" si="11"/>
        <v>2663.6517021281938</v>
      </c>
      <c r="L34" s="521">
        <v>0</v>
      </c>
      <c r="M34" s="434">
        <v>0</v>
      </c>
      <c r="N34" s="437">
        <f>F34</f>
        <v>2663.6517021281938</v>
      </c>
      <c r="O34" s="524">
        <f t="shared" si="17"/>
        <v>0</v>
      </c>
      <c r="P34" s="521">
        <f>P32</f>
        <v>0</v>
      </c>
      <c r="Q34" s="434">
        <v>0</v>
      </c>
      <c r="R34" s="434">
        <v>0</v>
      </c>
      <c r="S34" s="434">
        <v>0</v>
      </c>
      <c r="T34" s="344">
        <f t="shared" si="5"/>
        <v>2663.6517021281938</v>
      </c>
      <c r="U34" s="344">
        <f t="shared" si="6"/>
        <v>0</v>
      </c>
    </row>
    <row r="35" spans="1:21" ht="23.25" thickBot="1">
      <c r="A35" s="632" t="s">
        <v>811</v>
      </c>
      <c r="B35" s="622" t="s">
        <v>368</v>
      </c>
      <c r="C35" s="545" t="s">
        <v>470</v>
      </c>
      <c r="D35" s="545">
        <f t="shared" si="24"/>
        <v>680.12</v>
      </c>
      <c r="E35" s="545">
        <f>'стоимость содержания'!K27*H5/100</f>
        <v>13.008310274534404</v>
      </c>
      <c r="F35" s="546">
        <f t="shared" si="26"/>
        <v>8847.2119839163388</v>
      </c>
      <c r="G35" s="547">
        <f t="shared" si="8"/>
        <v>0</v>
      </c>
      <c r="H35" s="528">
        <v>0</v>
      </c>
      <c r="I35" s="529">
        <v>0</v>
      </c>
      <c r="J35" s="530">
        <v>0</v>
      </c>
      <c r="K35" s="527">
        <f t="shared" si="11"/>
        <v>0</v>
      </c>
      <c r="L35" s="528">
        <v>0</v>
      </c>
      <c r="M35" s="529">
        <v>0</v>
      </c>
      <c r="N35" s="530">
        <v>0</v>
      </c>
      <c r="O35" s="527">
        <f t="shared" si="17"/>
        <v>8847.2119839163388</v>
      </c>
      <c r="P35" s="528">
        <f>F35</f>
        <v>8847.2119839163388</v>
      </c>
      <c r="Q35" s="529">
        <v>0</v>
      </c>
      <c r="R35" s="529">
        <v>0</v>
      </c>
      <c r="S35" s="529">
        <v>0</v>
      </c>
      <c r="T35" s="344">
        <f t="shared" si="5"/>
        <v>8847.2119839163388</v>
      </c>
      <c r="U35" s="344">
        <f t="shared" si="6"/>
        <v>0</v>
      </c>
    </row>
    <row r="36" spans="1:21" ht="15.75" thickBot="1">
      <c r="A36" s="554">
        <v>9</v>
      </c>
      <c r="B36" s="615" t="s">
        <v>50</v>
      </c>
      <c r="C36" s="550" t="s">
        <v>21</v>
      </c>
      <c r="D36" s="550">
        <v>92</v>
      </c>
      <c r="E36" s="550">
        <f>'стоимость содержания'!K29*H5</f>
        <v>69.290000000000006</v>
      </c>
      <c r="F36" s="551">
        <f t="shared" si="26"/>
        <v>6374.68</v>
      </c>
      <c r="G36" s="552">
        <f t="shared" si="8"/>
        <v>6374.68</v>
      </c>
      <c r="H36" s="591">
        <v>0</v>
      </c>
      <c r="I36" s="592">
        <f>F36</f>
        <v>6374.68</v>
      </c>
      <c r="J36" s="593">
        <v>0</v>
      </c>
      <c r="K36" s="535">
        <f t="shared" si="11"/>
        <v>0</v>
      </c>
      <c r="L36" s="591">
        <v>0</v>
      </c>
      <c r="M36" s="592">
        <v>0</v>
      </c>
      <c r="N36" s="593">
        <v>0</v>
      </c>
      <c r="O36" s="535">
        <f t="shared" si="17"/>
        <v>0</v>
      </c>
      <c r="P36" s="591">
        <v>0</v>
      </c>
      <c r="Q36" s="592">
        <v>0</v>
      </c>
      <c r="R36" s="592">
        <v>0</v>
      </c>
      <c r="S36" s="594">
        <v>0</v>
      </c>
      <c r="T36" s="344">
        <f t="shared" si="5"/>
        <v>6374.68</v>
      </c>
      <c r="U36" s="344">
        <f t="shared" si="6"/>
        <v>0</v>
      </c>
    </row>
    <row r="37" spans="1:21" ht="15.75" thickBot="1">
      <c r="A37" s="554">
        <v>10</v>
      </c>
      <c r="B37" s="615" t="s">
        <v>51</v>
      </c>
      <c r="C37" s="550" t="s">
        <v>21</v>
      </c>
      <c r="D37" s="550">
        <v>98</v>
      </c>
      <c r="E37" s="550">
        <f>'стоимость содержания'!K30*H5</f>
        <v>269.7</v>
      </c>
      <c r="F37" s="551">
        <f t="shared" si="26"/>
        <v>26430.6</v>
      </c>
      <c r="G37" s="552">
        <f t="shared" si="8"/>
        <v>26430.6</v>
      </c>
      <c r="H37" s="591">
        <v>0</v>
      </c>
      <c r="I37" s="592">
        <f>F37</f>
        <v>26430.6</v>
      </c>
      <c r="J37" s="593">
        <v>0</v>
      </c>
      <c r="K37" s="535">
        <f t="shared" si="11"/>
        <v>0</v>
      </c>
      <c r="L37" s="591">
        <v>0</v>
      </c>
      <c r="M37" s="592">
        <v>0</v>
      </c>
      <c r="N37" s="593">
        <v>0</v>
      </c>
      <c r="O37" s="535">
        <f t="shared" si="17"/>
        <v>0</v>
      </c>
      <c r="P37" s="591">
        <v>0</v>
      </c>
      <c r="Q37" s="592">
        <v>0</v>
      </c>
      <c r="R37" s="592">
        <v>0</v>
      </c>
      <c r="S37" s="594">
        <v>0</v>
      </c>
      <c r="T37" s="344">
        <f t="shared" si="5"/>
        <v>26430.6</v>
      </c>
      <c r="U37" s="344">
        <f t="shared" si="6"/>
        <v>0</v>
      </c>
    </row>
    <row r="38" spans="1:21" ht="15.75" thickBot="1">
      <c r="A38" s="554">
        <v>11</v>
      </c>
      <c r="B38" s="555" t="s">
        <v>740</v>
      </c>
      <c r="C38" s="550" t="s">
        <v>470</v>
      </c>
      <c r="D38" s="550">
        <v>34</v>
      </c>
      <c r="E38" s="550">
        <f>'стоимость содержания'!K33*H5</f>
        <v>83.07</v>
      </c>
      <c r="F38" s="551">
        <f t="shared" si="26"/>
        <v>2824.3799999999997</v>
      </c>
      <c r="G38" s="552">
        <f t="shared" si="8"/>
        <v>2824.3799999999997</v>
      </c>
      <c r="H38" s="591">
        <v>0</v>
      </c>
      <c r="I38" s="611">
        <f>F38</f>
        <v>2824.3799999999997</v>
      </c>
      <c r="J38" s="593">
        <v>0</v>
      </c>
      <c r="K38" s="535">
        <f t="shared" si="11"/>
        <v>0</v>
      </c>
      <c r="L38" s="591">
        <v>0</v>
      </c>
      <c r="M38" s="592">
        <v>0</v>
      </c>
      <c r="N38" s="593">
        <v>0</v>
      </c>
      <c r="O38" s="535">
        <f t="shared" si="17"/>
        <v>0</v>
      </c>
      <c r="P38" s="591">
        <v>0</v>
      </c>
      <c r="Q38" s="592">
        <v>0</v>
      </c>
      <c r="R38" s="592">
        <v>0</v>
      </c>
      <c r="S38" s="594">
        <v>0</v>
      </c>
      <c r="T38" s="344">
        <f t="shared" si="5"/>
        <v>2824.3799999999997</v>
      </c>
      <c r="U38" s="344">
        <f t="shared" si="6"/>
        <v>0</v>
      </c>
    </row>
    <row r="39" spans="1:21" ht="15.75" thickBot="1">
      <c r="A39" s="634">
        <v>14</v>
      </c>
      <c r="B39" s="623" t="s">
        <v>760</v>
      </c>
      <c r="C39" s="557" t="s">
        <v>470</v>
      </c>
      <c r="D39" s="558">
        <v>3685</v>
      </c>
      <c r="E39" s="559">
        <f>'стоимость содержания'!K34*H5</f>
        <v>0</v>
      </c>
      <c r="F39" s="560">
        <f t="shared" si="26"/>
        <v>0</v>
      </c>
      <c r="G39" s="552">
        <f t="shared" si="8"/>
        <v>0</v>
      </c>
      <c r="H39" s="591">
        <v>0</v>
      </c>
      <c r="I39" s="611">
        <f>F39/3</f>
        <v>0</v>
      </c>
      <c r="J39" s="593">
        <v>0</v>
      </c>
      <c r="K39" s="535">
        <f t="shared" si="11"/>
        <v>0</v>
      </c>
      <c r="L39" s="591">
        <f>I39</f>
        <v>0</v>
      </c>
      <c r="M39" s="592">
        <v>0</v>
      </c>
      <c r="N39" s="593">
        <f>F39/3</f>
        <v>0</v>
      </c>
      <c r="O39" s="535">
        <f t="shared" si="17"/>
        <v>0</v>
      </c>
      <c r="P39" s="591">
        <v>0</v>
      </c>
      <c r="Q39" s="592">
        <v>0</v>
      </c>
      <c r="R39" s="592">
        <v>0</v>
      </c>
      <c r="S39" s="594">
        <v>0</v>
      </c>
      <c r="T39" s="344">
        <f t="shared" si="5"/>
        <v>0</v>
      </c>
      <c r="U39" s="344">
        <f t="shared" si="6"/>
        <v>0</v>
      </c>
    </row>
    <row r="40" spans="1:21" ht="15.75" thickBot="1">
      <c r="A40" s="635">
        <v>15</v>
      </c>
      <c r="B40" s="624" t="s">
        <v>761</v>
      </c>
      <c r="C40" s="561" t="s">
        <v>470</v>
      </c>
      <c r="D40" s="562">
        <v>102</v>
      </c>
      <c r="E40" s="563">
        <f>'стоимость содержания'!K35*H5</f>
        <v>47.920900000000003</v>
      </c>
      <c r="F40" s="564">
        <f t="shared" si="26"/>
        <v>4887.9318000000003</v>
      </c>
      <c r="G40" s="565">
        <f t="shared" si="8"/>
        <v>4887.9318000000003</v>
      </c>
      <c r="H40" s="607">
        <v>0</v>
      </c>
      <c r="I40" s="608">
        <f>F40</f>
        <v>4887.9318000000003</v>
      </c>
      <c r="J40" s="610">
        <v>0</v>
      </c>
      <c r="K40" s="566">
        <f t="shared" si="11"/>
        <v>0</v>
      </c>
      <c r="L40" s="607">
        <v>0</v>
      </c>
      <c r="M40" s="608">
        <v>0</v>
      </c>
      <c r="N40" s="610">
        <v>0</v>
      </c>
      <c r="O40" s="566">
        <f t="shared" si="17"/>
        <v>0</v>
      </c>
      <c r="P40" s="607">
        <v>0</v>
      </c>
      <c r="Q40" s="608">
        <v>0</v>
      </c>
      <c r="R40" s="608">
        <v>0</v>
      </c>
      <c r="S40" s="609">
        <v>0</v>
      </c>
      <c r="T40" s="344">
        <f t="shared" si="5"/>
        <v>4887.9318000000003</v>
      </c>
      <c r="U40" s="344">
        <f t="shared" si="6"/>
        <v>0</v>
      </c>
    </row>
    <row r="41" spans="1:21" ht="15.75" thickBot="1">
      <c r="A41" s="636"/>
      <c r="B41" s="623" t="s">
        <v>827</v>
      </c>
      <c r="C41" s="533"/>
      <c r="D41" s="533"/>
      <c r="E41" s="533"/>
      <c r="F41" s="534">
        <f>F40+F39+F38+F37+F36+F30+F29+F26+F22+F18+F17+F16+F15+F13+F12+F11+F10+F9+F8</f>
        <v>2731086.7595934966</v>
      </c>
      <c r="G41" s="535">
        <f t="shared" ref="G41:L41" si="27">G40+G39+G38+G37+G36+G30+G29+G26+G22+G18+G17+G16+G15+G13+G12+G11+G10+G9+G8</f>
        <v>1089910.8420305937</v>
      </c>
      <c r="H41" s="535">
        <f t="shared" si="27"/>
        <v>24801.718915073441</v>
      </c>
      <c r="I41" s="535">
        <f t="shared" si="27"/>
        <v>438647.54062180483</v>
      </c>
      <c r="J41" s="535">
        <f t="shared" si="27"/>
        <v>626461.58249371534</v>
      </c>
      <c r="K41" s="535">
        <f t="shared" si="27"/>
        <v>998120.63316071755</v>
      </c>
      <c r="L41" s="535">
        <f t="shared" si="27"/>
        <v>342580.23635586526</v>
      </c>
      <c r="M41" s="535">
        <f t="shared" ref="M41:S41" si="28">M40+M39+M38+M37+M36+M30+M29+M26+M22+M18+M17+M16+M15+M13+M12+M11+M10+M9+M8</f>
        <v>338799.65056419466</v>
      </c>
      <c r="N41" s="535">
        <f>N40+N39+N38+N37+N36+N30+N29+N26+N22+N18+N17+N16+N15+N13+N12+N11+N10+N9+N8</f>
        <v>316740.74624065764</v>
      </c>
      <c r="O41" s="535">
        <f t="shared" si="28"/>
        <v>690919.97428057157</v>
      </c>
      <c r="P41" s="535">
        <f>P40+P39+P38+P37+P36+P30+P29+P26+P22+P18+P17+P16+P15+P13+P12+P11+P10+P9+P8</f>
        <v>219405.62428057153</v>
      </c>
      <c r="Q41" s="535">
        <f>Q40+Q39+Q38+Q37+Q36+Q30+Q29+Q26+Q22+Q18+Q17+Q16+Q15+Q13+Q12+Q11+Q10+Q9+Q8</f>
        <v>42225.18</v>
      </c>
      <c r="R41" s="535">
        <f t="shared" si="28"/>
        <v>218163.34999999998</v>
      </c>
      <c r="S41" s="535">
        <f t="shared" si="28"/>
        <v>211125.82</v>
      </c>
    </row>
    <row r="42" spans="1:21">
      <c r="G42" s="612"/>
    </row>
    <row r="43" spans="1:21">
      <c r="L43" s="532"/>
    </row>
  </sheetData>
  <mergeCells count="9">
    <mergeCell ref="K2:K3"/>
    <mergeCell ref="O2:O3"/>
    <mergeCell ref="G2:G3"/>
    <mergeCell ref="C2:C3"/>
    <mergeCell ref="A2:A3"/>
    <mergeCell ref="B2:B3"/>
    <mergeCell ref="F2:F3"/>
    <mergeCell ref="D2:D3"/>
    <mergeCell ref="E2:E3"/>
  </mergeCells>
  <pageMargins left="0" right="0" top="0" bottom="0" header="0.31496062992125984" footer="0.31496062992125984"/>
  <pageSetup paperSize="9" scale="75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G37"/>
  <sheetViews>
    <sheetView workbookViewId="0">
      <selection activeCell="M21" sqref="M21"/>
    </sheetView>
  </sheetViews>
  <sheetFormatPr defaultRowHeight="15"/>
  <cols>
    <col min="1" max="1" width="3.7109375" customWidth="1"/>
    <col min="2" max="2" width="33.140625" customWidth="1"/>
    <col min="3" max="3" width="10.140625" customWidth="1"/>
    <col min="4" max="4" width="9.7109375" customWidth="1"/>
  </cols>
  <sheetData>
    <row r="1" spans="1:7">
      <c r="A1" s="842"/>
      <c r="B1" s="1454" t="s">
        <v>906</v>
      </c>
      <c r="C1" s="1454"/>
      <c r="D1" s="1454"/>
      <c r="E1" s="1454"/>
      <c r="F1" s="1454"/>
      <c r="G1" s="1454"/>
    </row>
    <row r="2" spans="1:7">
      <c r="A2" s="842"/>
      <c r="B2" s="1454" t="s">
        <v>928</v>
      </c>
      <c r="C2" s="1454"/>
      <c r="D2" s="1454"/>
      <c r="E2" s="1454"/>
      <c r="F2" s="1454"/>
      <c r="G2" s="1454"/>
    </row>
    <row r="3" spans="1:7">
      <c r="A3" s="843"/>
      <c r="B3" s="842"/>
      <c r="C3" s="842"/>
      <c r="D3" s="842"/>
      <c r="E3" s="842"/>
      <c r="F3" s="842"/>
      <c r="G3" s="842"/>
    </row>
    <row r="4" spans="1:7">
      <c r="A4" s="843"/>
      <c r="B4" s="842"/>
      <c r="C4" s="842"/>
      <c r="D4" s="842"/>
      <c r="E4" s="842" t="s">
        <v>387</v>
      </c>
      <c r="F4" s="844">
        <f>ресурсы!D4</f>
        <v>72.260000000000005</v>
      </c>
      <c r="G4" s="842" t="s">
        <v>88</v>
      </c>
    </row>
    <row r="5" spans="1:7">
      <c r="A5" s="843"/>
      <c r="B5" s="842" t="s">
        <v>86</v>
      </c>
      <c r="C5" s="842"/>
      <c r="D5" s="842"/>
      <c r="E5" s="842" t="s">
        <v>907</v>
      </c>
      <c r="F5" s="844">
        <f>F4</f>
        <v>72.260000000000005</v>
      </c>
      <c r="G5" s="842" t="s">
        <v>88</v>
      </c>
    </row>
    <row r="6" spans="1:7">
      <c r="A6" s="843"/>
      <c r="B6" s="842" t="s">
        <v>89</v>
      </c>
      <c r="C6" s="842"/>
      <c r="D6" s="842"/>
      <c r="E6" s="842"/>
      <c r="F6" s="842" t="s">
        <v>908</v>
      </c>
      <c r="G6" s="842"/>
    </row>
    <row r="7" spans="1:7">
      <c r="A7" s="1450" t="s">
        <v>26</v>
      </c>
      <c r="B7" s="1450" t="s">
        <v>148</v>
      </c>
      <c r="C7" s="845" t="s">
        <v>329</v>
      </c>
      <c r="D7" s="845" t="s">
        <v>909</v>
      </c>
      <c r="E7" s="845" t="s">
        <v>96</v>
      </c>
      <c r="F7" s="845" t="s">
        <v>97</v>
      </c>
      <c r="G7" s="1450" t="s">
        <v>98</v>
      </c>
    </row>
    <row r="8" spans="1:7">
      <c r="A8" s="1451"/>
      <c r="B8" s="1451"/>
      <c r="C8" s="846" t="s">
        <v>330</v>
      </c>
      <c r="D8" s="846" t="s">
        <v>150</v>
      </c>
      <c r="E8" s="846" t="s">
        <v>910</v>
      </c>
      <c r="F8" s="846"/>
      <c r="G8" s="1451"/>
    </row>
    <row r="9" spans="1:7">
      <c r="A9" s="1450">
        <v>1</v>
      </c>
      <c r="B9" s="1450" t="s">
        <v>927</v>
      </c>
      <c r="C9" s="847" t="s">
        <v>210</v>
      </c>
      <c r="D9" s="846" t="s">
        <v>911</v>
      </c>
      <c r="E9" s="848">
        <f>E10*F5</f>
        <v>159.69460000000001</v>
      </c>
      <c r="F9" s="846">
        <v>1</v>
      </c>
      <c r="G9" s="1452">
        <f>E9*F9</f>
        <v>159.69460000000001</v>
      </c>
    </row>
    <row r="10" spans="1:7" ht="11.25" customHeight="1">
      <c r="A10" s="1451"/>
      <c r="B10" s="1451"/>
      <c r="C10" s="846" t="s">
        <v>227</v>
      </c>
      <c r="D10" s="846" t="s">
        <v>2</v>
      </c>
      <c r="E10" s="846">
        <v>2.21</v>
      </c>
      <c r="F10" s="846"/>
      <c r="G10" s="1453"/>
    </row>
    <row r="11" spans="1:7">
      <c r="A11" s="1450">
        <v>2</v>
      </c>
      <c r="B11" s="1450" t="s">
        <v>912</v>
      </c>
      <c r="C11" s="847" t="s">
        <v>210</v>
      </c>
      <c r="D11" s="846" t="s">
        <v>911</v>
      </c>
      <c r="E11" s="848">
        <f>E12*F4</f>
        <v>409.71420000000001</v>
      </c>
      <c r="F11" s="846">
        <v>1</v>
      </c>
      <c r="G11" s="849">
        <f>E11*F11</f>
        <v>409.71420000000001</v>
      </c>
    </row>
    <row r="12" spans="1:7">
      <c r="A12" s="1451"/>
      <c r="B12" s="1451"/>
      <c r="C12" s="846" t="s">
        <v>913</v>
      </c>
      <c r="D12" s="846" t="s">
        <v>1</v>
      </c>
      <c r="E12" s="846">
        <v>5.67</v>
      </c>
      <c r="F12" s="846"/>
      <c r="G12" s="850"/>
    </row>
    <row r="13" spans="1:7">
      <c r="A13" s="1450">
        <v>3</v>
      </c>
      <c r="B13" s="1450" t="s">
        <v>914</v>
      </c>
      <c r="C13" s="847" t="s">
        <v>287</v>
      </c>
      <c r="D13" s="846" t="s">
        <v>915</v>
      </c>
      <c r="E13" s="848">
        <f>E14*F5</f>
        <v>187.1534</v>
      </c>
      <c r="F13" s="846">
        <v>1</v>
      </c>
      <c r="G13" s="848">
        <f>E13*F13</f>
        <v>187.1534</v>
      </c>
    </row>
    <row r="14" spans="1:7" ht="23.25" customHeight="1">
      <c r="A14" s="1451"/>
      <c r="B14" s="1451"/>
      <c r="C14" s="846"/>
      <c r="D14" s="846" t="s">
        <v>2</v>
      </c>
      <c r="E14" s="846">
        <v>2.59</v>
      </c>
      <c r="F14" s="846"/>
      <c r="G14" s="846"/>
    </row>
    <row r="15" spans="1:7" ht="24">
      <c r="A15" s="1461">
        <v>4</v>
      </c>
      <c r="B15" s="851" t="s">
        <v>916</v>
      </c>
      <c r="C15" s="1462" t="s">
        <v>917</v>
      </c>
      <c r="D15" s="851"/>
      <c r="E15" s="851"/>
      <c r="F15" s="851"/>
      <c r="G15" s="851"/>
    </row>
    <row r="16" spans="1:7">
      <c r="A16" s="1461"/>
      <c r="B16" s="851" t="s">
        <v>918</v>
      </c>
      <c r="C16" s="1463"/>
      <c r="D16" s="851" t="s">
        <v>8</v>
      </c>
      <c r="E16" s="852">
        <f>ресурсы!D13</f>
        <v>599.5</v>
      </c>
      <c r="F16" s="851">
        <v>1.5</v>
      </c>
      <c r="G16" s="852">
        <f>E16*F16</f>
        <v>899.25</v>
      </c>
    </row>
    <row r="17" spans="1:7">
      <c r="A17" s="1461"/>
      <c r="B17" s="851" t="s">
        <v>919</v>
      </c>
      <c r="C17" s="1463"/>
      <c r="D17" s="853"/>
      <c r="E17" s="853"/>
      <c r="F17" s="853"/>
      <c r="G17" s="853"/>
    </row>
    <row r="18" spans="1:7">
      <c r="A18" s="1451"/>
      <c r="B18" s="846" t="s">
        <v>920</v>
      </c>
      <c r="C18" s="1453"/>
      <c r="D18" s="854"/>
      <c r="E18" s="854"/>
      <c r="F18" s="854"/>
      <c r="G18" s="854"/>
    </row>
    <row r="19" spans="1:7">
      <c r="A19" s="1455">
        <v>5</v>
      </c>
      <c r="B19" s="855" t="s">
        <v>921</v>
      </c>
      <c r="C19" s="1457" t="s">
        <v>232</v>
      </c>
      <c r="D19" s="415" t="s">
        <v>233</v>
      </c>
      <c r="E19" s="420">
        <f>ресурсы!D22</f>
        <v>10.72</v>
      </c>
      <c r="F19" s="415">
        <v>0.7</v>
      </c>
      <c r="G19" s="415">
        <f>E19*F19</f>
        <v>7.5039999999999996</v>
      </c>
    </row>
    <row r="20" spans="1:7">
      <c r="A20" s="1456"/>
      <c r="B20" s="856" t="s">
        <v>922</v>
      </c>
      <c r="C20" s="1458"/>
      <c r="D20" s="415" t="s">
        <v>233</v>
      </c>
      <c r="E20" s="859">
        <f>ресурсы!D20</f>
        <v>19.07</v>
      </c>
      <c r="F20" s="857">
        <v>0.7</v>
      </c>
      <c r="G20" s="857">
        <f>F20*E20</f>
        <v>13.349</v>
      </c>
    </row>
    <row r="21" spans="1:7">
      <c r="A21" s="1456"/>
      <c r="B21" s="846" t="s">
        <v>235</v>
      </c>
      <c r="C21" s="1459"/>
      <c r="D21" s="415" t="s">
        <v>233</v>
      </c>
      <c r="E21" s="904">
        <f>ресурсы!D21</f>
        <v>26.69</v>
      </c>
      <c r="F21" s="854">
        <v>0.8</v>
      </c>
      <c r="G21" s="854">
        <f>F21*E21</f>
        <v>21.352000000000004</v>
      </c>
    </row>
    <row r="22" spans="1:7">
      <c r="A22" s="858"/>
      <c r="B22" s="858" t="s">
        <v>923</v>
      </c>
      <c r="C22" s="857"/>
      <c r="D22" s="857"/>
      <c r="E22" s="857"/>
      <c r="F22" s="857"/>
      <c r="G22" s="859">
        <f>G16+G13+G11+G9+G19+G20+G21</f>
        <v>1698.0172</v>
      </c>
    </row>
    <row r="23" spans="1:7">
      <c r="A23" s="858"/>
      <c r="B23" s="858" t="s">
        <v>924</v>
      </c>
      <c r="C23" s="857">
        <v>1.2</v>
      </c>
      <c r="D23" s="857"/>
      <c r="E23" s="857"/>
      <c r="F23" s="857"/>
      <c r="G23" s="859">
        <f>G22*C23</f>
        <v>2037.6206399999999</v>
      </c>
    </row>
    <row r="24" spans="1:7">
      <c r="A24" s="858"/>
      <c r="B24" s="858" t="s">
        <v>164</v>
      </c>
      <c r="C24" s="857">
        <v>1.08</v>
      </c>
      <c r="D24" s="857"/>
      <c r="E24" s="857"/>
      <c r="F24" s="857"/>
      <c r="G24" s="859">
        <f>G23*C24</f>
        <v>2200.6302912000001</v>
      </c>
    </row>
    <row r="25" spans="1:7">
      <c r="A25" s="858"/>
      <c r="B25" s="858" t="s">
        <v>925</v>
      </c>
      <c r="C25" s="857">
        <v>100</v>
      </c>
      <c r="D25" s="857"/>
      <c r="E25" s="857"/>
      <c r="F25" s="857"/>
      <c r="G25" s="859">
        <f>G24/C25</f>
        <v>22.006302912000002</v>
      </c>
    </row>
    <row r="26" spans="1:7">
      <c r="A26" s="860"/>
      <c r="B26" s="858" t="s">
        <v>132</v>
      </c>
      <c r="C26" s="857">
        <v>1.18</v>
      </c>
      <c r="D26" s="857"/>
      <c r="E26" s="857"/>
      <c r="F26" s="857"/>
      <c r="G26" s="861">
        <f>G25*C26</f>
        <v>25.967437436160001</v>
      </c>
    </row>
    <row r="27" spans="1:7">
      <c r="A27" s="860"/>
      <c r="B27" s="858"/>
      <c r="C27" s="857"/>
      <c r="D27" s="857"/>
      <c r="E27" s="857"/>
      <c r="F27" s="857"/>
      <c r="G27" s="859"/>
    </row>
    <row r="28" spans="1:7" ht="24">
      <c r="A28" s="860"/>
      <c r="B28" s="862" t="s">
        <v>926</v>
      </c>
      <c r="C28" s="415"/>
      <c r="D28" s="415"/>
      <c r="E28" s="415"/>
      <c r="F28" s="415"/>
      <c r="G28" s="420">
        <f>G9</f>
        <v>159.69460000000001</v>
      </c>
    </row>
    <row r="29" spans="1:7">
      <c r="A29" s="860"/>
      <c r="B29" s="858" t="s">
        <v>163</v>
      </c>
      <c r="C29" s="857">
        <v>1.2</v>
      </c>
      <c r="D29" s="857"/>
      <c r="E29" s="857"/>
      <c r="F29" s="857"/>
      <c r="G29" s="859">
        <f>G28*C29</f>
        <v>191.63352</v>
      </c>
    </row>
    <row r="30" spans="1:7">
      <c r="A30" s="860"/>
      <c r="B30" s="858" t="s">
        <v>164</v>
      </c>
      <c r="C30" s="857">
        <v>1.08</v>
      </c>
      <c r="D30" s="857"/>
      <c r="E30" s="857"/>
      <c r="F30" s="857"/>
      <c r="G30" s="859">
        <f>G29*C30</f>
        <v>206.96420160000002</v>
      </c>
    </row>
    <row r="31" spans="1:7">
      <c r="A31" s="860"/>
      <c r="B31" s="858" t="s">
        <v>925</v>
      </c>
      <c r="C31" s="857">
        <v>100</v>
      </c>
      <c r="D31" s="857"/>
      <c r="E31" s="857"/>
      <c r="F31" s="857"/>
      <c r="G31" s="859">
        <f>G30/C31</f>
        <v>2.0696420160000004</v>
      </c>
    </row>
    <row r="32" spans="1:7">
      <c r="A32" s="860"/>
      <c r="B32" s="858" t="s">
        <v>132</v>
      </c>
      <c r="C32" s="857">
        <v>1.18</v>
      </c>
      <c r="D32" s="857"/>
      <c r="E32" s="857"/>
      <c r="F32" s="857"/>
      <c r="G32" s="861">
        <f>G31*1.18</f>
        <v>2.4421775788800004</v>
      </c>
    </row>
    <row r="33" spans="1:7">
      <c r="A33" s="842"/>
      <c r="B33" s="842"/>
      <c r="C33" s="842"/>
      <c r="D33" s="842"/>
      <c r="E33" s="842"/>
      <c r="F33" s="842"/>
      <c r="G33" s="842"/>
    </row>
    <row r="34" spans="1:7">
      <c r="A34" s="842"/>
      <c r="B34" s="842"/>
      <c r="C34" s="842"/>
      <c r="D34" s="842"/>
      <c r="E34" s="842"/>
      <c r="F34" s="842"/>
      <c r="G34" s="842"/>
    </row>
    <row r="35" spans="1:7">
      <c r="A35" s="842"/>
      <c r="B35" s="863" t="s">
        <v>544</v>
      </c>
      <c r="C35" s="681"/>
      <c r="D35" s="1460" t="s">
        <v>641</v>
      </c>
      <c r="E35" s="1460"/>
      <c r="F35" s="1460"/>
      <c r="G35" s="842"/>
    </row>
    <row r="36" spans="1:7">
      <c r="A36" s="842"/>
      <c r="B36" s="842"/>
      <c r="C36" s="842"/>
      <c r="D36" s="842"/>
      <c r="E36" s="842"/>
      <c r="F36" s="842"/>
      <c r="G36" s="842"/>
    </row>
    <row r="37" spans="1:7">
      <c r="A37" s="842"/>
      <c r="B37" s="842"/>
      <c r="C37" s="842"/>
      <c r="D37" s="842"/>
      <c r="E37" s="842"/>
      <c r="F37" s="842"/>
      <c r="G37" s="842"/>
    </row>
  </sheetData>
  <mergeCells count="17">
    <mergeCell ref="A19:A21"/>
    <mergeCell ref="C19:C21"/>
    <mergeCell ref="D35:F35"/>
    <mergeCell ref="A11:A12"/>
    <mergeCell ref="B11:B12"/>
    <mergeCell ref="A13:A14"/>
    <mergeCell ref="B13:B14"/>
    <mergeCell ref="A15:A18"/>
    <mergeCell ref="C15:C18"/>
    <mergeCell ref="A9:A10"/>
    <mergeCell ref="B9:B10"/>
    <mergeCell ref="G9:G10"/>
    <mergeCell ref="B1:G1"/>
    <mergeCell ref="B2:G2"/>
    <mergeCell ref="A7:A8"/>
    <mergeCell ref="B7:B8"/>
    <mergeCell ref="G7:G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I151"/>
  <sheetViews>
    <sheetView workbookViewId="0">
      <selection activeCell="K4" sqref="K4"/>
    </sheetView>
  </sheetViews>
  <sheetFormatPr defaultRowHeight="15"/>
  <cols>
    <col min="1" max="1" width="18.85546875" customWidth="1"/>
    <col min="5" max="5" width="10.42578125" customWidth="1"/>
    <col min="6" max="6" width="11.5703125" customWidth="1"/>
    <col min="7" max="7" width="12.7109375" customWidth="1"/>
    <col min="8" max="8" width="11.7109375" customWidth="1"/>
    <col min="9" max="9" width="13.42578125" customWidth="1"/>
  </cols>
  <sheetData>
    <row r="2" spans="1:9">
      <c r="A2" s="978"/>
      <c r="B2" s="978"/>
      <c r="C2" s="978"/>
      <c r="D2" s="978"/>
      <c r="E2" s="979"/>
      <c r="F2" s="979"/>
      <c r="G2" s="980"/>
      <c r="H2" s="980"/>
      <c r="I2" s="980"/>
    </row>
    <row r="3" spans="1:9">
      <c r="A3" s="1118" t="s">
        <v>981</v>
      </c>
      <c r="B3" s="1118"/>
      <c r="C3" s="1118"/>
      <c r="D3" s="1118"/>
      <c r="E3" s="1118"/>
      <c r="F3" s="1118"/>
      <c r="G3" s="1118"/>
      <c r="H3" s="1118"/>
      <c r="I3" s="1118"/>
    </row>
    <row r="4" spans="1:9">
      <c r="A4" s="1118" t="s">
        <v>982</v>
      </c>
      <c r="B4" s="1118"/>
      <c r="C4" s="1118"/>
      <c r="D4" s="1118"/>
      <c r="E4" s="1118"/>
      <c r="F4" s="1118"/>
      <c r="G4" s="1118"/>
      <c r="H4" s="1118"/>
      <c r="I4" s="1118"/>
    </row>
    <row r="5" spans="1:9">
      <c r="A5" s="980" t="s">
        <v>983</v>
      </c>
      <c r="B5" s="981"/>
      <c r="C5" s="981"/>
      <c r="D5" s="981"/>
      <c r="E5" s="981"/>
      <c r="F5" s="981"/>
      <c r="G5" s="981"/>
      <c r="H5" s="981"/>
      <c r="I5" s="981"/>
    </row>
    <row r="6" spans="1:9" ht="15.75" thickBot="1">
      <c r="A6" s="978"/>
      <c r="B6" s="978"/>
      <c r="C6" s="978"/>
      <c r="D6" s="978"/>
      <c r="E6" s="979"/>
      <c r="F6" s="979"/>
      <c r="G6" s="978"/>
      <c r="H6" s="978"/>
      <c r="I6" s="979"/>
    </row>
    <row r="7" spans="1:9" ht="15.75" thickBot="1">
      <c r="A7" s="1119" t="s">
        <v>984</v>
      </c>
      <c r="B7" s="1122" t="s">
        <v>243</v>
      </c>
      <c r="C7" s="1125" t="s">
        <v>97</v>
      </c>
      <c r="D7" s="1126"/>
      <c r="E7" s="1125" t="s">
        <v>985</v>
      </c>
      <c r="F7" s="1126"/>
      <c r="G7" s="1129" t="s">
        <v>812</v>
      </c>
      <c r="H7" s="1132" t="s">
        <v>986</v>
      </c>
      <c r="I7" s="1133"/>
    </row>
    <row r="8" spans="1:9" ht="21.75" customHeight="1" thickBot="1">
      <c r="A8" s="1120"/>
      <c r="B8" s="1123"/>
      <c r="C8" s="1127"/>
      <c r="D8" s="1128"/>
      <c r="E8" s="1127"/>
      <c r="F8" s="1128"/>
      <c r="G8" s="1130"/>
      <c r="H8" s="982">
        <v>183</v>
      </c>
      <c r="I8" s="983">
        <v>182</v>
      </c>
    </row>
    <row r="9" spans="1:9" ht="20.25" customHeight="1" thickBot="1">
      <c r="A9" s="1121"/>
      <c r="B9" s="1124"/>
      <c r="C9" s="983" t="s">
        <v>987</v>
      </c>
      <c r="D9" s="983" t="s">
        <v>988</v>
      </c>
      <c r="E9" s="983" t="s">
        <v>987</v>
      </c>
      <c r="F9" s="983" t="s">
        <v>988</v>
      </c>
      <c r="G9" s="1131"/>
      <c r="H9" s="983" t="s">
        <v>987</v>
      </c>
      <c r="I9" s="983" t="s">
        <v>988</v>
      </c>
    </row>
    <row r="10" spans="1:9" ht="36.75" customHeight="1">
      <c r="A10" s="984" t="s">
        <v>1039</v>
      </c>
      <c r="B10" s="984"/>
      <c r="C10" s="984"/>
      <c r="D10" s="984"/>
      <c r="E10" s="985"/>
      <c r="F10" s="985"/>
      <c r="G10" s="986">
        <f>H10+I10</f>
        <v>2721905.4600000004</v>
      </c>
      <c r="H10" s="986">
        <f>H11+H12+H13+H14+H16+H18+H19+H20+H21+H22</f>
        <v>2250391.1400000006</v>
      </c>
      <c r="I10" s="986">
        <f>I12+I13+I14</f>
        <v>471514.32</v>
      </c>
    </row>
    <row r="11" spans="1:9" ht="36">
      <c r="A11" s="936" t="s">
        <v>1044</v>
      </c>
      <c r="B11" s="937" t="s">
        <v>470</v>
      </c>
      <c r="C11" s="938">
        <f>77586</f>
        <v>77586</v>
      </c>
      <c r="D11" s="938"/>
      <c r="E11" s="939">
        <f>H11/C11</f>
        <v>14.945317454179877</v>
      </c>
      <c r="F11" s="938"/>
      <c r="G11" s="940">
        <f>H11+I11</f>
        <v>1159547.3999999999</v>
      </c>
      <c r="H11" s="940">
        <f>ROUND('с 21.12.2013-20.12.2014'!E14,2)</f>
        <v>1159547.3999999999</v>
      </c>
      <c r="I11" s="940"/>
    </row>
    <row r="12" spans="1:9" ht="25.5" customHeight="1">
      <c r="A12" s="936" t="s">
        <v>991</v>
      </c>
      <c r="B12" s="937" t="s">
        <v>470</v>
      </c>
      <c r="C12" s="938">
        <f>11011.86+610+790</f>
        <v>12411.86</v>
      </c>
      <c r="D12" s="938">
        <f>789+8852+230</f>
        <v>9871</v>
      </c>
      <c r="E12" s="939">
        <f t="shared" ref="E12:F22" si="0">H12/C12</f>
        <v>29.644133111395067</v>
      </c>
      <c r="F12" s="938">
        <f t="shared" si="0"/>
        <v>29.487618275757271</v>
      </c>
      <c r="G12" s="940">
        <f>H12+I12</f>
        <v>659011.1100000001</v>
      </c>
      <c r="H12" s="940">
        <f>ROUND('с 21.12.2013-20.12.2014'!Q14+'с 21.12.2013-20.12.2014'!S14,2)</f>
        <v>367938.83</v>
      </c>
      <c r="I12" s="940">
        <f>ROUND('с 21.12.2013-20.12.2014'!K14+'с 21.12.2013-20.12.2014'!M14+'с 21.12.2013-20.12.2014'!O14+'с 21.12.2013-20.12.2014'!F14,2)</f>
        <v>291072.28000000003</v>
      </c>
    </row>
    <row r="13" spans="1:9">
      <c r="A13" s="936" t="s">
        <v>992</v>
      </c>
      <c r="B13" s="937" t="s">
        <v>25</v>
      </c>
      <c r="C13" s="938">
        <v>92</v>
      </c>
      <c r="D13" s="938">
        <v>92</v>
      </c>
      <c r="E13" s="939">
        <f t="shared" si="0"/>
        <v>1918.4467391304349</v>
      </c>
      <c r="F13" s="938">
        <f t="shared" si="0"/>
        <v>1691.190108695652</v>
      </c>
      <c r="G13" s="940">
        <f>H13+I13</f>
        <v>332086.58999999997</v>
      </c>
      <c r="H13" s="940">
        <f>ROUND('с 21.12.2013-20.12.2014'!U14+'с 21.12.2013-20.12.2014'!V14,2)</f>
        <v>176497.1</v>
      </c>
      <c r="I13" s="940">
        <f>ROUND('с 21.12.2013-20.12.2014'!X14,2)</f>
        <v>155589.49</v>
      </c>
    </row>
    <row r="14" spans="1:9">
      <c r="A14" s="936" t="s">
        <v>993</v>
      </c>
      <c r="B14" s="937" t="s">
        <v>25</v>
      </c>
      <c r="C14" s="938">
        <v>98</v>
      </c>
      <c r="D14" s="938">
        <v>98</v>
      </c>
      <c r="E14" s="939">
        <f t="shared" si="0"/>
        <v>269.7</v>
      </c>
      <c r="F14" s="938">
        <f t="shared" si="0"/>
        <v>253.59744897959183</v>
      </c>
      <c r="G14" s="940">
        <f>H14+I14</f>
        <v>51283.149999999994</v>
      </c>
      <c r="H14" s="940">
        <f>ROUND('с 21.12.2013-20.12.2014'!Z14,2)</f>
        <v>26430.6</v>
      </c>
      <c r="I14" s="940">
        <f>ROUND('с 21.12.2013-20.12.2014'!AB14,2)</f>
        <v>24852.55</v>
      </c>
    </row>
    <row r="15" spans="1:9" ht="18" customHeight="1">
      <c r="A15" s="936" t="s">
        <v>994</v>
      </c>
      <c r="B15" s="937"/>
      <c r="C15" s="937"/>
      <c r="D15" s="937"/>
      <c r="E15" s="939"/>
      <c r="F15" s="938"/>
      <c r="G15" s="940"/>
      <c r="H15" s="940"/>
      <c r="I15" s="940"/>
    </row>
    <row r="16" spans="1:9" ht="19.5" customHeight="1">
      <c r="A16" s="936" t="s">
        <v>995</v>
      </c>
      <c r="B16" s="937" t="s">
        <v>470</v>
      </c>
      <c r="C16" s="938">
        <f>677+3.12</f>
        <v>680.12</v>
      </c>
      <c r="D16" s="937"/>
      <c r="E16" s="939">
        <f t="shared" si="0"/>
        <v>560.37919778862545</v>
      </c>
      <c r="F16" s="938"/>
      <c r="G16" s="940">
        <f>H16+I16</f>
        <v>381125.1</v>
      </c>
      <c r="H16" s="940">
        <f>ROUND('с 21.12.2013-20.12.2014'!AD14+'с 21.12.2013-20.12.2014'!AF14,2)</f>
        <v>381125.1</v>
      </c>
      <c r="I16" s="940">
        <v>0</v>
      </c>
    </row>
    <row r="17" spans="1:9" ht="20.25" hidden="1" customHeight="1">
      <c r="A17" s="936" t="s">
        <v>996</v>
      </c>
      <c r="B17" s="937" t="s">
        <v>470</v>
      </c>
      <c r="C17" s="938">
        <f>'[1]Аукцион '!AK26</f>
        <v>0</v>
      </c>
      <c r="D17" s="937"/>
      <c r="E17" s="939" t="e">
        <f t="shared" si="0"/>
        <v>#DIV/0!</v>
      </c>
      <c r="F17" s="938"/>
      <c r="G17" s="940">
        <f>H17+I17</f>
        <v>0</v>
      </c>
      <c r="H17" s="940">
        <f>'[1]Аукцион '!AL26</f>
        <v>0</v>
      </c>
      <c r="I17" s="940">
        <v>0</v>
      </c>
    </row>
    <row r="18" spans="1:9" ht="24">
      <c r="A18" s="936" t="s">
        <v>998</v>
      </c>
      <c r="B18" s="937" t="s">
        <v>999</v>
      </c>
      <c r="C18" s="938">
        <f>908</f>
        <v>908</v>
      </c>
      <c r="D18" s="937"/>
      <c r="E18" s="939">
        <f t="shared" si="0"/>
        <v>137.0089757709251</v>
      </c>
      <c r="F18" s="938"/>
      <c r="G18" s="940">
        <f>H18+I18</f>
        <v>124404.15</v>
      </c>
      <c r="H18" s="940">
        <f>ROUND('с 21.12.2013-20.12.2014'!AL14,2)</f>
        <v>124404.15</v>
      </c>
      <c r="I18" s="940">
        <v>0</v>
      </c>
    </row>
    <row r="19" spans="1:9">
      <c r="A19" s="936" t="s">
        <v>1040</v>
      </c>
      <c r="B19" s="937" t="s">
        <v>470</v>
      </c>
      <c r="C19" s="938">
        <v>102</v>
      </c>
      <c r="D19" s="938">
        <f>'[1]Аукцион '!AS26</f>
        <v>0</v>
      </c>
      <c r="E19" s="939">
        <f t="shared" si="0"/>
        <v>47.920882352941177</v>
      </c>
      <c r="F19" s="938"/>
      <c r="G19" s="940">
        <f>H19+I19</f>
        <v>4887.93</v>
      </c>
      <c r="H19" s="940">
        <f>ROUND('с 21.12.2013-20.12.2014'!AZ14,2)</f>
        <v>4887.93</v>
      </c>
      <c r="I19" s="940">
        <f>'[1]Аукцион '!AT26</f>
        <v>0</v>
      </c>
    </row>
    <row r="20" spans="1:9">
      <c r="A20" s="936" t="s">
        <v>1001</v>
      </c>
      <c r="B20" s="937" t="s">
        <v>1002</v>
      </c>
      <c r="C20" s="937">
        <v>35</v>
      </c>
      <c r="D20" s="937"/>
      <c r="E20" s="939">
        <f t="shared" si="0"/>
        <v>51.93485714285714</v>
      </c>
      <c r="F20" s="938"/>
      <c r="G20" s="940">
        <f t="shared" ref="G20:G22" si="1">H20+I20</f>
        <v>1817.72</v>
      </c>
      <c r="H20" s="940">
        <f>ROUND('с 21.12.2013-20.12.2014'!BB14,2)</f>
        <v>1817.72</v>
      </c>
      <c r="I20" s="941"/>
    </row>
    <row r="21" spans="1:9" ht="24">
      <c r="A21" s="936" t="s">
        <v>1003</v>
      </c>
      <c r="B21" s="937" t="s">
        <v>1002</v>
      </c>
      <c r="C21" s="937">
        <v>71</v>
      </c>
      <c r="D21" s="937"/>
      <c r="E21" s="939">
        <f t="shared" si="0"/>
        <v>69.266619718309869</v>
      </c>
      <c r="F21" s="938"/>
      <c r="G21" s="940">
        <f t="shared" si="1"/>
        <v>4917.93</v>
      </c>
      <c r="H21" s="940">
        <f>ROUND('с 21.12.2013-20.12.2014'!AJ14,2)</f>
        <v>4917.93</v>
      </c>
      <c r="I21" s="941"/>
    </row>
    <row r="22" spans="1:9" ht="36">
      <c r="A22" s="936" t="s">
        <v>1041</v>
      </c>
      <c r="B22" s="937" t="s">
        <v>470</v>
      </c>
      <c r="C22" s="937">
        <v>34</v>
      </c>
      <c r="D22" s="937"/>
      <c r="E22" s="939">
        <f t="shared" si="0"/>
        <v>83.070000000000007</v>
      </c>
      <c r="F22" s="938"/>
      <c r="G22" s="940">
        <f t="shared" si="1"/>
        <v>2824.38</v>
      </c>
      <c r="H22" s="941">
        <f>ROUND('с 21.12.2013-20.12.2014'!AV14,2)</f>
        <v>2824.38</v>
      </c>
      <c r="I22" s="941"/>
    </row>
    <row r="23" spans="1:9" ht="24">
      <c r="A23" s="987" t="s">
        <v>1042</v>
      </c>
      <c r="B23" s="987"/>
      <c r="C23" s="987"/>
      <c r="D23" s="987"/>
      <c r="E23" s="988"/>
      <c r="F23" s="989"/>
      <c r="G23" s="990">
        <f>H23+I23</f>
        <v>203364.78</v>
      </c>
      <c r="H23" s="990">
        <f>H24+H25+H26+H27+H29+H30+H31+H32</f>
        <v>193738.54</v>
      </c>
      <c r="I23" s="990">
        <f>I24+I25+I26+I27+I29+I30+I31+I32</f>
        <v>9626.24</v>
      </c>
    </row>
    <row r="24" spans="1:9">
      <c r="A24" s="936" t="s">
        <v>1047</v>
      </c>
      <c r="B24" s="937" t="s">
        <v>470</v>
      </c>
      <c r="C24" s="938">
        <v>152000</v>
      </c>
      <c r="D24" s="937"/>
      <c r="E24" s="939">
        <f>H24/C24</f>
        <v>1.274378552631579</v>
      </c>
      <c r="F24" s="938"/>
      <c r="G24" s="940">
        <f>H24+I24</f>
        <v>193705.54</v>
      </c>
      <c r="H24" s="940">
        <f>ROUND([2]Расчет!$J$50,2)</f>
        <v>193705.54</v>
      </c>
      <c r="I24" s="940">
        <v>0</v>
      </c>
    </row>
    <row r="25" spans="1:9">
      <c r="A25" s="936" t="s">
        <v>1043</v>
      </c>
      <c r="B25" s="937" t="s">
        <v>470</v>
      </c>
      <c r="C25" s="938">
        <v>0</v>
      </c>
      <c r="D25" s="938">
        <f>45.4+13.5</f>
        <v>58.9</v>
      </c>
      <c r="E25" s="939"/>
      <c r="F25" s="938">
        <f>I25/D25</f>
        <v>163.43361629881156</v>
      </c>
      <c r="G25" s="940">
        <f>H25+I25</f>
        <v>9626.24</v>
      </c>
      <c r="H25" s="940">
        <v>0</v>
      </c>
      <c r="I25" s="940">
        <f>ROUND([2]Расчет!$J$57,2)</f>
        <v>9626.24</v>
      </c>
    </row>
    <row r="26" spans="1:9" hidden="1">
      <c r="A26" s="936" t="s">
        <v>992</v>
      </c>
      <c r="B26" s="937" t="s">
        <v>25</v>
      </c>
      <c r="C26" s="938">
        <v>0</v>
      </c>
      <c r="D26" s="938">
        <v>13.5</v>
      </c>
      <c r="E26" s="939" t="e">
        <f>H26/C26</f>
        <v>#DIV/0!</v>
      </c>
      <c r="F26" s="938">
        <f>I26/D26</f>
        <v>0</v>
      </c>
      <c r="G26" s="940"/>
      <c r="H26" s="940"/>
      <c r="I26" s="940"/>
    </row>
    <row r="27" spans="1:9" hidden="1">
      <c r="A27" s="936" t="s">
        <v>993</v>
      </c>
      <c r="B27" s="937" t="s">
        <v>25</v>
      </c>
      <c r="C27" s="938">
        <v>0</v>
      </c>
      <c r="D27" s="938">
        <f>'[1]Аукцион '!AA28</f>
        <v>6742.5</v>
      </c>
      <c r="E27" s="939" t="e">
        <f>H27/C27</f>
        <v>#DIV/0!</v>
      </c>
      <c r="F27" s="938">
        <f>I27/D27</f>
        <v>0</v>
      </c>
      <c r="G27" s="940"/>
      <c r="H27" s="940"/>
      <c r="I27" s="940"/>
    </row>
    <row r="28" spans="1:9" hidden="1">
      <c r="A28" s="936" t="s">
        <v>994</v>
      </c>
      <c r="B28" s="937"/>
      <c r="C28" s="937"/>
      <c r="D28" s="937"/>
      <c r="E28" s="939"/>
      <c r="F28" s="938"/>
      <c r="G28" s="940"/>
      <c r="H28" s="940"/>
      <c r="I28" s="940"/>
    </row>
    <row r="29" spans="1:9" hidden="1">
      <c r="A29" s="937" t="s">
        <v>995</v>
      </c>
      <c r="B29" s="937" t="s">
        <v>470</v>
      </c>
      <c r="C29" s="938">
        <v>0</v>
      </c>
      <c r="D29" s="937"/>
      <c r="E29" s="939" t="e">
        <f>H29/C29</f>
        <v>#DIV/0!</v>
      </c>
      <c r="F29" s="938"/>
      <c r="G29" s="940"/>
      <c r="H29" s="940"/>
      <c r="I29" s="940"/>
    </row>
    <row r="30" spans="1:9" hidden="1">
      <c r="A30" s="936" t="s">
        <v>1005</v>
      </c>
      <c r="B30" s="937" t="s">
        <v>25</v>
      </c>
      <c r="C30" s="938">
        <v>0</v>
      </c>
      <c r="D30" s="937"/>
      <c r="E30" s="939" t="e">
        <f>H30/C30</f>
        <v>#DIV/0!</v>
      </c>
      <c r="F30" s="938"/>
      <c r="G30" s="940"/>
      <c r="H30" s="940"/>
      <c r="I30" s="940"/>
    </row>
    <row r="31" spans="1:9" ht="24" hidden="1">
      <c r="A31" s="936" t="s">
        <v>998</v>
      </c>
      <c r="B31" s="937" t="s">
        <v>999</v>
      </c>
      <c r="C31" s="938">
        <f>'[1]Аукцион '!AQ28</f>
        <v>72203.740000000005</v>
      </c>
      <c r="D31" s="937"/>
      <c r="E31" s="939">
        <f>H31/C31</f>
        <v>0</v>
      </c>
      <c r="F31" s="938"/>
      <c r="G31" s="940"/>
      <c r="H31" s="940"/>
      <c r="I31" s="940"/>
    </row>
    <row r="32" spans="1:9" hidden="1">
      <c r="A32" s="936" t="s">
        <v>1006</v>
      </c>
      <c r="B32" s="937" t="s">
        <v>25</v>
      </c>
      <c r="C32" s="938">
        <f>'[1]Аукцион '!AU28</f>
        <v>0</v>
      </c>
      <c r="D32" s="937"/>
      <c r="E32" s="939" t="e">
        <f>H32/C32</f>
        <v>#DIV/0!</v>
      </c>
      <c r="F32" s="938"/>
      <c r="G32" s="940">
        <f>H32+I32</f>
        <v>33</v>
      </c>
      <c r="H32" s="940">
        <f>'[1]Аукцион '!AV28</f>
        <v>33</v>
      </c>
      <c r="I32" s="940">
        <v>0</v>
      </c>
    </row>
    <row r="33" spans="1:9" hidden="1">
      <c r="A33" s="936"/>
      <c r="B33" s="937"/>
      <c r="C33" s="937"/>
      <c r="D33" s="937"/>
      <c r="E33" s="939"/>
      <c r="F33" s="938"/>
      <c r="G33" s="940">
        <f>SUM(G24:G32)</f>
        <v>203364.78</v>
      </c>
      <c r="H33" s="941">
        <f>H24+H25+H26+H27+H29+H30+H31+H32</f>
        <v>193738.54</v>
      </c>
      <c r="I33" s="941">
        <f>I26+I25+I27</f>
        <v>9626.24</v>
      </c>
    </row>
    <row r="34" spans="1:9">
      <c r="A34" s="987" t="s">
        <v>1046</v>
      </c>
      <c r="B34" s="987"/>
      <c r="C34" s="987"/>
      <c r="D34" s="987"/>
      <c r="E34" s="988"/>
      <c r="F34" s="989"/>
      <c r="G34" s="990">
        <f>H34+I34</f>
        <v>381205.99</v>
      </c>
      <c r="H34" s="990">
        <f>H35+H36+H37+H38+H40+H41+H42+H43+H44</f>
        <v>381205.99</v>
      </c>
      <c r="I34" s="990">
        <f>I35+I36+I37+I38</f>
        <v>0</v>
      </c>
    </row>
    <row r="35" spans="1:9" ht="15.75" thickBot="1">
      <c r="A35" s="936" t="s">
        <v>1045</v>
      </c>
      <c r="B35" s="937" t="s">
        <v>470</v>
      </c>
      <c r="C35" s="938">
        <v>360000</v>
      </c>
      <c r="D35" s="937"/>
      <c r="E35" s="939">
        <f>H35/C35</f>
        <v>1.0589055277777777</v>
      </c>
      <c r="F35" s="938"/>
      <c r="G35" s="940">
        <f>H35+I35</f>
        <v>381205.99</v>
      </c>
      <c r="H35" s="940">
        <f>ROUND([3]Расчет!$J$38,2)</f>
        <v>381205.99</v>
      </c>
      <c r="I35" s="940">
        <v>0</v>
      </c>
    </row>
    <row r="36" spans="1:9" ht="15.75" hidden="1" thickBot="1">
      <c r="A36" s="936" t="s">
        <v>991</v>
      </c>
      <c r="B36" s="937"/>
      <c r="C36" s="938"/>
      <c r="D36" s="938"/>
      <c r="E36" s="939"/>
      <c r="F36" s="938"/>
      <c r="G36" s="940"/>
      <c r="H36" s="940"/>
      <c r="I36" s="940"/>
    </row>
    <row r="37" spans="1:9" ht="15.75" hidden="1" thickBot="1">
      <c r="A37" s="936" t="s">
        <v>992</v>
      </c>
      <c r="B37" s="937"/>
      <c r="C37" s="938"/>
      <c r="D37" s="938"/>
      <c r="E37" s="939"/>
      <c r="F37" s="938"/>
      <c r="G37" s="940"/>
      <c r="H37" s="940"/>
      <c r="I37" s="940"/>
    </row>
    <row r="38" spans="1:9" ht="15.75" hidden="1" thickBot="1">
      <c r="A38" s="936" t="s">
        <v>993</v>
      </c>
      <c r="B38" s="937"/>
      <c r="C38" s="938"/>
      <c r="D38" s="938"/>
      <c r="E38" s="939"/>
      <c r="F38" s="938"/>
      <c r="G38" s="940"/>
      <c r="H38" s="940"/>
      <c r="I38" s="940"/>
    </row>
    <row r="39" spans="1:9" ht="15.75" hidden="1" thickBot="1">
      <c r="A39" s="936" t="s">
        <v>994</v>
      </c>
      <c r="B39" s="937"/>
      <c r="C39" s="937"/>
      <c r="D39" s="937"/>
      <c r="E39" s="939"/>
      <c r="F39" s="938"/>
      <c r="G39" s="940"/>
      <c r="H39" s="940"/>
      <c r="I39" s="940"/>
    </row>
    <row r="40" spans="1:9" ht="15.75" hidden="1" thickBot="1">
      <c r="A40" s="937" t="s">
        <v>995</v>
      </c>
      <c r="B40" s="937"/>
      <c r="C40" s="938"/>
      <c r="D40" s="937"/>
      <c r="E40" s="939"/>
      <c r="F40" s="938"/>
      <c r="G40" s="940"/>
      <c r="H40" s="940"/>
      <c r="I40" s="940"/>
    </row>
    <row r="41" spans="1:9" ht="15.75" hidden="1" thickBot="1">
      <c r="A41" s="937" t="s">
        <v>996</v>
      </c>
      <c r="B41" s="937"/>
      <c r="C41" s="938"/>
      <c r="D41" s="937"/>
      <c r="E41" s="939"/>
      <c r="F41" s="938"/>
      <c r="G41" s="940"/>
      <c r="H41" s="940"/>
      <c r="I41" s="940"/>
    </row>
    <row r="42" spans="1:9" ht="15.75" hidden="1" thickBot="1">
      <c r="A42" s="936" t="s">
        <v>1005</v>
      </c>
      <c r="B42" s="937"/>
      <c r="C42" s="938"/>
      <c r="D42" s="937"/>
      <c r="E42" s="939"/>
      <c r="F42" s="938"/>
      <c r="G42" s="940"/>
      <c r="H42" s="940"/>
      <c r="I42" s="940"/>
    </row>
    <row r="43" spans="1:9" ht="24.75" hidden="1" thickBot="1">
      <c r="A43" s="936" t="s">
        <v>1008</v>
      </c>
      <c r="B43" s="937"/>
      <c r="C43" s="938"/>
      <c r="D43" s="937"/>
      <c r="E43" s="939"/>
      <c r="F43" s="938"/>
      <c r="G43" s="940"/>
      <c r="H43" s="940"/>
      <c r="I43" s="940"/>
    </row>
    <row r="44" spans="1:9" ht="15.75" hidden="1" thickBot="1">
      <c r="A44" s="936" t="s">
        <v>1006</v>
      </c>
      <c r="B44" s="937"/>
      <c r="C44" s="938"/>
      <c r="D44" s="937"/>
      <c r="E44" s="939"/>
      <c r="F44" s="938"/>
      <c r="G44" s="940"/>
      <c r="H44" s="940"/>
      <c r="I44" s="940"/>
    </row>
    <row r="45" spans="1:9" ht="15.75" hidden="1" thickBot="1">
      <c r="A45" s="349"/>
      <c r="B45" s="349"/>
      <c r="C45" s="349"/>
      <c r="D45" s="349"/>
      <c r="E45" s="946"/>
      <c r="F45" s="947"/>
      <c r="G45" s="940"/>
      <c r="H45" s="941"/>
      <c r="I45" s="941"/>
    </row>
    <row r="46" spans="1:9" ht="15.75" hidden="1" thickBot="1">
      <c r="A46" s="987" t="s">
        <v>1009</v>
      </c>
      <c r="B46" s="987"/>
      <c r="C46" s="987"/>
      <c r="D46" s="987"/>
      <c r="E46" s="988"/>
      <c r="F46" s="989"/>
      <c r="G46" s="990"/>
      <c r="H46" s="990"/>
      <c r="I46" s="990"/>
    </row>
    <row r="47" spans="1:9" ht="15.75" hidden="1" thickBot="1">
      <c r="A47" s="936" t="s">
        <v>990</v>
      </c>
      <c r="B47" s="948"/>
      <c r="C47" s="947"/>
      <c r="D47" s="349"/>
      <c r="E47" s="946"/>
      <c r="F47" s="947"/>
      <c r="G47" s="940"/>
      <c r="H47" s="940"/>
      <c r="I47" s="940"/>
    </row>
    <row r="48" spans="1:9" ht="24.75" hidden="1" thickBot="1">
      <c r="A48" s="936" t="s">
        <v>998</v>
      </c>
      <c r="B48" s="937"/>
      <c r="C48" s="947"/>
      <c r="D48" s="349"/>
      <c r="E48" s="946"/>
      <c r="F48" s="947"/>
      <c r="G48" s="940"/>
      <c r="H48" s="940"/>
      <c r="I48" s="940"/>
    </row>
    <row r="49" spans="1:9" ht="15.75" hidden="1" thickBot="1">
      <c r="A49" s="349"/>
      <c r="B49" s="349"/>
      <c r="C49" s="349"/>
      <c r="D49" s="349"/>
      <c r="E49" s="946"/>
      <c r="F49" s="947"/>
      <c r="G49" s="940"/>
      <c r="H49" s="941"/>
      <c r="I49" s="941"/>
    </row>
    <row r="50" spans="1:9" ht="36.75" hidden="1" thickBot="1">
      <c r="A50" s="987" t="s">
        <v>1010</v>
      </c>
      <c r="B50" s="987"/>
      <c r="C50" s="987"/>
      <c r="D50" s="987"/>
      <c r="E50" s="988"/>
      <c r="F50" s="989"/>
      <c r="G50" s="990"/>
      <c r="H50" s="990"/>
      <c r="I50" s="990"/>
    </row>
    <row r="51" spans="1:9" ht="15.75" hidden="1" thickBot="1">
      <c r="A51" s="936" t="s">
        <v>990</v>
      </c>
      <c r="B51" s="937"/>
      <c r="C51" s="947"/>
      <c r="D51" s="349"/>
      <c r="E51" s="946"/>
      <c r="F51" s="947"/>
      <c r="G51" s="940"/>
      <c r="H51" s="940"/>
      <c r="I51" s="940"/>
    </row>
    <row r="52" spans="1:9" ht="15.75" hidden="1" thickBot="1">
      <c r="A52" s="936" t="s">
        <v>991</v>
      </c>
      <c r="B52" s="937"/>
      <c r="C52" s="947"/>
      <c r="D52" s="947"/>
      <c r="E52" s="946"/>
      <c r="F52" s="947"/>
      <c r="G52" s="940"/>
      <c r="H52" s="940"/>
      <c r="I52" s="940"/>
    </row>
    <row r="53" spans="1:9" ht="15.75" hidden="1" thickBot="1">
      <c r="A53" s="936" t="s">
        <v>994</v>
      </c>
      <c r="B53" s="349"/>
      <c r="C53" s="349"/>
      <c r="D53" s="349"/>
      <c r="E53" s="946"/>
      <c r="F53" s="947"/>
      <c r="G53" s="940"/>
      <c r="H53" s="940"/>
      <c r="I53" s="940"/>
    </row>
    <row r="54" spans="1:9" ht="15.75" hidden="1" thickBot="1">
      <c r="A54" s="937" t="s">
        <v>996</v>
      </c>
      <c r="B54" s="937"/>
      <c r="C54" s="947"/>
      <c r="D54" s="349"/>
      <c r="E54" s="946"/>
      <c r="F54" s="947"/>
      <c r="G54" s="940"/>
      <c r="H54" s="940"/>
      <c r="I54" s="940"/>
    </row>
    <row r="55" spans="1:9" ht="24.75" hidden="1" thickBot="1">
      <c r="A55" s="937" t="s">
        <v>1011</v>
      </c>
      <c r="B55" s="937"/>
      <c r="C55" s="947"/>
      <c r="D55" s="349"/>
      <c r="E55" s="946"/>
      <c r="F55" s="947"/>
      <c r="G55" s="940"/>
      <c r="H55" s="940"/>
      <c r="I55" s="940"/>
    </row>
    <row r="56" spans="1:9" ht="15.75" hidden="1" thickBot="1">
      <c r="A56" s="936" t="s">
        <v>1005</v>
      </c>
      <c r="B56" s="937"/>
      <c r="C56" s="947"/>
      <c r="D56" s="349"/>
      <c r="E56" s="946"/>
      <c r="F56" s="947"/>
      <c r="G56" s="940"/>
      <c r="H56" s="940"/>
      <c r="I56" s="940"/>
    </row>
    <row r="57" spans="1:9" ht="24.75" hidden="1" thickBot="1">
      <c r="A57" s="936" t="s">
        <v>998</v>
      </c>
      <c r="B57" s="937"/>
      <c r="C57" s="947"/>
      <c r="D57" s="349"/>
      <c r="E57" s="946"/>
      <c r="F57" s="947"/>
      <c r="G57" s="940"/>
      <c r="H57" s="940"/>
      <c r="I57" s="940"/>
    </row>
    <row r="58" spans="1:9" ht="15.75" hidden="1" thickBot="1">
      <c r="A58" s="349"/>
      <c r="B58" s="349"/>
      <c r="C58" s="349"/>
      <c r="D58" s="349"/>
      <c r="E58" s="946"/>
      <c r="F58" s="947"/>
      <c r="G58" s="940"/>
      <c r="H58" s="941"/>
      <c r="I58" s="941"/>
    </row>
    <row r="59" spans="1:9" ht="48.75" hidden="1" thickBot="1">
      <c r="A59" s="987" t="s">
        <v>1012</v>
      </c>
      <c r="B59" s="987"/>
      <c r="C59" s="987"/>
      <c r="D59" s="987"/>
      <c r="E59" s="988"/>
      <c r="F59" s="989"/>
      <c r="G59" s="990"/>
      <c r="H59" s="990"/>
      <c r="I59" s="990"/>
    </row>
    <row r="60" spans="1:9" ht="15.75" hidden="1" thickBot="1">
      <c r="A60" s="936" t="s">
        <v>990</v>
      </c>
      <c r="B60" s="937"/>
      <c r="C60" s="947"/>
      <c r="D60" s="349"/>
      <c r="E60" s="946"/>
      <c r="F60" s="947"/>
      <c r="G60" s="940"/>
      <c r="H60" s="940"/>
      <c r="I60" s="940"/>
    </row>
    <row r="61" spans="1:9" ht="15.75" hidden="1" thickBot="1">
      <c r="A61" s="936" t="s">
        <v>992</v>
      </c>
      <c r="B61" s="937"/>
      <c r="C61" s="947"/>
      <c r="D61" s="947"/>
      <c r="E61" s="946"/>
      <c r="F61" s="947"/>
      <c r="G61" s="940"/>
      <c r="H61" s="940"/>
      <c r="I61" s="940"/>
    </row>
    <row r="62" spans="1:9" ht="15.75" hidden="1" thickBot="1">
      <c r="A62" s="936" t="s">
        <v>1005</v>
      </c>
      <c r="B62" s="937"/>
      <c r="C62" s="947"/>
      <c r="D62" s="349"/>
      <c r="E62" s="946"/>
      <c r="F62" s="947"/>
      <c r="G62" s="940"/>
      <c r="H62" s="940"/>
      <c r="I62" s="940"/>
    </row>
    <row r="63" spans="1:9" ht="24.75" hidden="1" thickBot="1">
      <c r="A63" s="949" t="s">
        <v>998</v>
      </c>
      <c r="B63" s="937"/>
      <c r="C63" s="947"/>
      <c r="D63" s="349"/>
      <c r="E63" s="946"/>
      <c r="F63" s="947"/>
      <c r="G63" s="940"/>
      <c r="H63" s="940"/>
      <c r="I63" s="940"/>
    </row>
    <row r="64" spans="1:9" ht="15.75" hidden="1" thickBot="1">
      <c r="A64" s="349"/>
      <c r="B64" s="349"/>
      <c r="C64" s="349"/>
      <c r="D64" s="349"/>
      <c r="E64" s="946"/>
      <c r="F64" s="947"/>
      <c r="G64" s="940"/>
      <c r="H64" s="941"/>
      <c r="I64" s="941"/>
    </row>
    <row r="65" spans="1:9" ht="48.75" hidden="1" thickBot="1">
      <c r="A65" s="987" t="s">
        <v>1013</v>
      </c>
      <c r="B65" s="987"/>
      <c r="C65" s="987"/>
      <c r="D65" s="987"/>
      <c r="E65" s="988"/>
      <c r="F65" s="989"/>
      <c r="G65" s="990"/>
      <c r="H65" s="990"/>
      <c r="I65" s="990"/>
    </row>
    <row r="66" spans="1:9" ht="15.75" hidden="1" thickBot="1">
      <c r="A66" s="936" t="s">
        <v>990</v>
      </c>
      <c r="B66" s="937"/>
      <c r="C66" s="947"/>
      <c r="D66" s="349"/>
      <c r="E66" s="946"/>
      <c r="F66" s="947"/>
      <c r="G66" s="940"/>
      <c r="H66" s="940"/>
      <c r="I66" s="940"/>
    </row>
    <row r="67" spans="1:9" ht="15.75" hidden="1" thickBot="1">
      <c r="A67" s="936" t="s">
        <v>994</v>
      </c>
      <c r="B67" s="937"/>
      <c r="C67" s="349"/>
      <c r="D67" s="349"/>
      <c r="E67" s="946"/>
      <c r="F67" s="947"/>
      <c r="G67" s="940"/>
      <c r="H67" s="940"/>
      <c r="I67" s="940"/>
    </row>
    <row r="68" spans="1:9" ht="15.75" hidden="1" thickBot="1">
      <c r="A68" s="937" t="s">
        <v>995</v>
      </c>
      <c r="B68" s="937"/>
      <c r="C68" s="947"/>
      <c r="D68" s="349"/>
      <c r="E68" s="946"/>
      <c r="F68" s="947"/>
      <c r="G68" s="940"/>
      <c r="H68" s="940"/>
      <c r="I68" s="940"/>
    </row>
    <row r="69" spans="1:9" ht="15.75" hidden="1" thickBot="1">
      <c r="A69" s="937" t="s">
        <v>996</v>
      </c>
      <c r="B69" s="937"/>
      <c r="C69" s="947"/>
      <c r="D69" s="349"/>
      <c r="E69" s="946"/>
      <c r="F69" s="947"/>
      <c r="G69" s="940"/>
      <c r="H69" s="940"/>
      <c r="I69" s="940"/>
    </row>
    <row r="70" spans="1:9" ht="24.75" hidden="1" thickBot="1">
      <c r="A70" s="937" t="s">
        <v>1014</v>
      </c>
      <c r="B70" s="937"/>
      <c r="C70" s="947"/>
      <c r="D70" s="349"/>
      <c r="E70" s="946"/>
      <c r="F70" s="947"/>
      <c r="G70" s="940"/>
      <c r="H70" s="940"/>
      <c r="I70" s="940"/>
    </row>
    <row r="71" spans="1:9" ht="24.75" hidden="1" thickBot="1">
      <c r="A71" s="936" t="s">
        <v>998</v>
      </c>
      <c r="B71" s="937"/>
      <c r="C71" s="947"/>
      <c r="D71" s="349"/>
      <c r="E71" s="946"/>
      <c r="F71" s="947"/>
      <c r="G71" s="940"/>
      <c r="H71" s="940"/>
      <c r="I71" s="940"/>
    </row>
    <row r="72" spans="1:9" ht="15.75" hidden="1" thickBot="1">
      <c r="A72" s="349"/>
      <c r="B72" s="349"/>
      <c r="C72" s="349"/>
      <c r="D72" s="349"/>
      <c r="E72" s="946"/>
      <c r="F72" s="947"/>
      <c r="G72" s="940"/>
      <c r="H72" s="941"/>
      <c r="I72" s="941"/>
    </row>
    <row r="73" spans="1:9" ht="48.75" hidden="1" thickBot="1">
      <c r="A73" s="987" t="s">
        <v>1015</v>
      </c>
      <c r="B73" s="987"/>
      <c r="C73" s="987"/>
      <c r="D73" s="987"/>
      <c r="E73" s="988"/>
      <c r="F73" s="989"/>
      <c r="G73" s="990"/>
      <c r="H73" s="990"/>
      <c r="I73" s="990"/>
    </row>
    <row r="74" spans="1:9" ht="15.75" hidden="1" thickBot="1">
      <c r="A74" s="936" t="s">
        <v>990</v>
      </c>
      <c r="B74" s="937"/>
      <c r="C74" s="947"/>
      <c r="D74" s="349"/>
      <c r="E74" s="946"/>
      <c r="F74" s="947"/>
      <c r="G74" s="940"/>
      <c r="H74" s="940"/>
      <c r="I74" s="940"/>
    </row>
    <row r="75" spans="1:9" ht="24.75" hidden="1" thickBot="1">
      <c r="A75" s="936" t="s">
        <v>1008</v>
      </c>
      <c r="B75" s="937"/>
      <c r="C75" s="947"/>
      <c r="D75" s="349"/>
      <c r="E75" s="946"/>
      <c r="F75" s="947"/>
      <c r="G75" s="940"/>
      <c r="H75" s="940"/>
      <c r="I75" s="940"/>
    </row>
    <row r="76" spans="1:9" ht="15.75" hidden="1" thickBot="1">
      <c r="A76" s="936" t="s">
        <v>1006</v>
      </c>
      <c r="B76" s="937"/>
      <c r="C76" s="947"/>
      <c r="D76" s="349"/>
      <c r="E76" s="946"/>
      <c r="F76" s="947"/>
      <c r="G76" s="940"/>
      <c r="H76" s="940"/>
      <c r="I76" s="940"/>
    </row>
    <row r="77" spans="1:9" ht="15.75" hidden="1" thickBot="1">
      <c r="A77" s="950" t="s">
        <v>1005</v>
      </c>
      <c r="B77" s="948"/>
      <c r="C77" s="349"/>
      <c r="D77" s="349"/>
      <c r="E77" s="946"/>
      <c r="F77" s="947"/>
      <c r="G77" s="940"/>
      <c r="H77" s="940"/>
      <c r="I77" s="940"/>
    </row>
    <row r="78" spans="1:9" ht="15.75" hidden="1" thickBot="1">
      <c r="A78" s="950"/>
      <c r="B78" s="349"/>
      <c r="C78" s="349"/>
      <c r="D78" s="349"/>
      <c r="E78" s="946"/>
      <c r="F78" s="947"/>
      <c r="G78" s="940"/>
      <c r="H78" s="941"/>
      <c r="I78" s="941"/>
    </row>
    <row r="79" spans="1:9" ht="15.75" hidden="1" thickBot="1">
      <c r="A79" s="987" t="s">
        <v>1016</v>
      </c>
      <c r="B79" s="987"/>
      <c r="C79" s="987"/>
      <c r="D79" s="987"/>
      <c r="E79" s="988"/>
      <c r="F79" s="989"/>
      <c r="G79" s="990"/>
      <c r="H79" s="990"/>
      <c r="I79" s="990"/>
    </row>
    <row r="80" spans="1:9" ht="15.75" hidden="1" thickBot="1">
      <c r="A80" s="936" t="s">
        <v>990</v>
      </c>
      <c r="B80" s="937"/>
      <c r="C80" s="947"/>
      <c r="D80" s="349"/>
      <c r="E80" s="946"/>
      <c r="F80" s="947"/>
      <c r="G80" s="940"/>
      <c r="H80" s="940"/>
      <c r="I80" s="940"/>
    </row>
    <row r="81" spans="1:9" ht="15.75" hidden="1" thickBot="1">
      <c r="A81" s="936" t="s">
        <v>991</v>
      </c>
      <c r="B81" s="937"/>
      <c r="C81" s="947"/>
      <c r="D81" s="349"/>
      <c r="E81" s="946"/>
      <c r="F81" s="947"/>
      <c r="G81" s="940"/>
      <c r="H81" s="940"/>
      <c r="I81" s="940"/>
    </row>
    <row r="82" spans="1:9" ht="15.75" hidden="1" thickBot="1">
      <c r="A82" s="936" t="s">
        <v>992</v>
      </c>
      <c r="B82" s="937"/>
      <c r="C82" s="947"/>
      <c r="D82" s="947"/>
      <c r="E82" s="946"/>
      <c r="F82" s="947"/>
      <c r="G82" s="940"/>
      <c r="H82" s="940"/>
      <c r="I82" s="940"/>
    </row>
    <row r="83" spans="1:9" ht="15.75" hidden="1" thickBot="1">
      <c r="A83" s="936" t="s">
        <v>994</v>
      </c>
      <c r="B83" s="937"/>
      <c r="C83" s="349"/>
      <c r="D83" s="349"/>
      <c r="E83" s="946"/>
      <c r="F83" s="947"/>
      <c r="G83" s="940"/>
      <c r="H83" s="940"/>
      <c r="I83" s="940"/>
    </row>
    <row r="84" spans="1:9" ht="15.75" hidden="1" thickBot="1">
      <c r="A84" s="937" t="s">
        <v>995</v>
      </c>
      <c r="B84" s="937"/>
      <c r="C84" s="947"/>
      <c r="D84" s="349"/>
      <c r="E84" s="946"/>
      <c r="F84" s="947"/>
      <c r="G84" s="940"/>
      <c r="H84" s="940"/>
      <c r="I84" s="940"/>
    </row>
    <row r="85" spans="1:9" ht="15.75" hidden="1" thickBot="1">
      <c r="A85" s="936" t="s">
        <v>1005</v>
      </c>
      <c r="B85" s="937"/>
      <c r="C85" s="947"/>
      <c r="D85" s="349"/>
      <c r="E85" s="946"/>
      <c r="F85" s="947"/>
      <c r="G85" s="940"/>
      <c r="H85" s="940"/>
      <c r="I85" s="940"/>
    </row>
    <row r="86" spans="1:9" ht="24.75" hidden="1" thickBot="1">
      <c r="A86" s="936" t="s">
        <v>1008</v>
      </c>
      <c r="B86" s="937"/>
      <c r="C86" s="947"/>
      <c r="D86" s="349"/>
      <c r="E86" s="946"/>
      <c r="F86" s="947"/>
      <c r="G86" s="940"/>
      <c r="H86" s="940"/>
      <c r="I86" s="940"/>
    </row>
    <row r="87" spans="1:9" ht="15.75" hidden="1" thickBot="1">
      <c r="A87" s="937"/>
      <c r="B87" s="937"/>
      <c r="C87" s="349"/>
      <c r="D87" s="349"/>
      <c r="E87" s="946"/>
      <c r="F87" s="947"/>
      <c r="G87" s="940"/>
      <c r="H87" s="941"/>
      <c r="I87" s="941"/>
    </row>
    <row r="88" spans="1:9" ht="48.75" hidden="1" thickBot="1">
      <c r="A88" s="987" t="s">
        <v>1017</v>
      </c>
      <c r="B88" s="991"/>
      <c r="C88" s="987"/>
      <c r="D88" s="987"/>
      <c r="E88" s="988"/>
      <c r="F88" s="989"/>
      <c r="G88" s="990"/>
      <c r="H88" s="990"/>
      <c r="I88" s="990"/>
    </row>
    <row r="89" spans="1:9" ht="15.75" hidden="1" thickBot="1">
      <c r="A89" s="936" t="s">
        <v>990</v>
      </c>
      <c r="B89" s="937"/>
      <c r="C89" s="947"/>
      <c r="D89" s="349"/>
      <c r="E89" s="946"/>
      <c r="F89" s="947"/>
      <c r="G89" s="940"/>
      <c r="H89" s="940"/>
      <c r="I89" s="940"/>
    </row>
    <row r="90" spans="1:9" ht="15.75" hidden="1" thickBot="1">
      <c r="A90" s="936" t="s">
        <v>994</v>
      </c>
      <c r="B90" s="937"/>
      <c r="C90" s="349"/>
      <c r="D90" s="349"/>
      <c r="E90" s="946"/>
      <c r="F90" s="947"/>
      <c r="G90" s="940"/>
      <c r="H90" s="940"/>
      <c r="I90" s="940"/>
    </row>
    <row r="91" spans="1:9" ht="15.75" hidden="1" thickBot="1">
      <c r="A91" s="937" t="s">
        <v>995</v>
      </c>
      <c r="B91" s="937"/>
      <c r="C91" s="947"/>
      <c r="D91" s="349"/>
      <c r="E91" s="946"/>
      <c r="F91" s="947"/>
      <c r="G91" s="940"/>
      <c r="H91" s="940"/>
      <c r="I91" s="940"/>
    </row>
    <row r="92" spans="1:9" ht="15.75" hidden="1" thickBot="1">
      <c r="A92" s="936" t="s">
        <v>1005</v>
      </c>
      <c r="B92" s="937"/>
      <c r="C92" s="947"/>
      <c r="D92" s="349"/>
      <c r="E92" s="946"/>
      <c r="F92" s="947"/>
      <c r="G92" s="940"/>
      <c r="H92" s="940"/>
      <c r="I92" s="940"/>
    </row>
    <row r="93" spans="1:9" ht="15.75" hidden="1" thickBot="1">
      <c r="A93" s="937"/>
      <c r="B93" s="937"/>
      <c r="C93" s="349"/>
      <c r="D93" s="349"/>
      <c r="E93" s="946"/>
      <c r="F93" s="947"/>
      <c r="G93" s="940"/>
      <c r="H93" s="941"/>
      <c r="I93" s="941"/>
    </row>
    <row r="94" spans="1:9" ht="60.75" hidden="1" thickBot="1">
      <c r="A94" s="987" t="s">
        <v>1018</v>
      </c>
      <c r="B94" s="991"/>
      <c r="C94" s="987"/>
      <c r="D94" s="987"/>
      <c r="E94" s="988"/>
      <c r="F94" s="989"/>
      <c r="G94" s="990"/>
      <c r="H94" s="990"/>
      <c r="I94" s="990"/>
    </row>
    <row r="95" spans="1:9" ht="15.75" hidden="1" thickBot="1">
      <c r="A95" s="936" t="s">
        <v>990</v>
      </c>
      <c r="B95" s="937"/>
      <c r="C95" s="947"/>
      <c r="D95" s="349"/>
      <c r="E95" s="946"/>
      <c r="F95" s="947"/>
      <c r="G95" s="940"/>
      <c r="H95" s="940"/>
      <c r="I95" s="940"/>
    </row>
    <row r="96" spans="1:9" ht="15.75" hidden="1" thickBot="1">
      <c r="A96" s="936" t="s">
        <v>994</v>
      </c>
      <c r="B96" s="937"/>
      <c r="C96" s="349"/>
      <c r="D96" s="349"/>
      <c r="E96" s="946"/>
      <c r="F96" s="947"/>
      <c r="G96" s="940"/>
      <c r="H96" s="940"/>
      <c r="I96" s="940"/>
    </row>
    <row r="97" spans="1:9" ht="15.75" hidden="1" thickBot="1">
      <c r="A97" s="937" t="s">
        <v>995</v>
      </c>
      <c r="B97" s="937"/>
      <c r="C97" s="947"/>
      <c r="D97" s="349"/>
      <c r="E97" s="946"/>
      <c r="F97" s="947"/>
      <c r="G97" s="940"/>
      <c r="H97" s="940"/>
      <c r="I97" s="940"/>
    </row>
    <row r="98" spans="1:9" ht="15.75" hidden="1" thickBot="1">
      <c r="A98" s="937" t="s">
        <v>996</v>
      </c>
      <c r="B98" s="937"/>
      <c r="C98" s="947"/>
      <c r="D98" s="349"/>
      <c r="E98" s="946"/>
      <c r="F98" s="947"/>
      <c r="G98" s="940"/>
      <c r="H98" s="940"/>
      <c r="I98" s="940"/>
    </row>
    <row r="99" spans="1:9" ht="15.75" hidden="1" thickBot="1">
      <c r="A99" s="937" t="s">
        <v>1019</v>
      </c>
      <c r="B99" s="937"/>
      <c r="C99" s="947"/>
      <c r="D99" s="349"/>
      <c r="E99" s="946"/>
      <c r="F99" s="947"/>
      <c r="G99" s="940"/>
      <c r="H99" s="940"/>
      <c r="I99" s="940"/>
    </row>
    <row r="100" spans="1:9" ht="24.75" hidden="1" thickBot="1">
      <c r="A100" s="937" t="s">
        <v>1020</v>
      </c>
      <c r="B100" s="937"/>
      <c r="C100" s="349"/>
      <c r="D100" s="349"/>
      <c r="E100" s="946"/>
      <c r="F100" s="947"/>
      <c r="G100" s="940"/>
      <c r="H100" s="940"/>
      <c r="I100" s="940"/>
    </row>
    <row r="101" spans="1:9" ht="15.75" hidden="1" thickBot="1">
      <c r="A101" s="937" t="s">
        <v>1021</v>
      </c>
      <c r="B101" s="937"/>
      <c r="C101" s="947"/>
      <c r="D101" s="349"/>
      <c r="E101" s="946"/>
      <c r="F101" s="947"/>
      <c r="G101" s="940"/>
      <c r="H101" s="940"/>
      <c r="I101" s="940"/>
    </row>
    <row r="102" spans="1:9" ht="15.75" hidden="1" thickBot="1">
      <c r="A102" s="936" t="s">
        <v>1005</v>
      </c>
      <c r="B102" s="937"/>
      <c r="C102" s="947"/>
      <c r="D102" s="349"/>
      <c r="E102" s="946"/>
      <c r="F102" s="947"/>
      <c r="G102" s="940"/>
      <c r="H102" s="940"/>
      <c r="I102" s="940"/>
    </row>
    <row r="103" spans="1:9" ht="24.75" hidden="1" thickBot="1">
      <c r="A103" s="936" t="s">
        <v>998</v>
      </c>
      <c r="B103" s="937"/>
      <c r="C103" s="947"/>
      <c r="D103" s="349"/>
      <c r="E103" s="946"/>
      <c r="F103" s="947"/>
      <c r="G103" s="940"/>
      <c r="H103" s="940"/>
      <c r="I103" s="940"/>
    </row>
    <row r="104" spans="1:9" ht="15.75" hidden="1" thickBot="1">
      <c r="A104" s="949"/>
      <c r="B104" s="937"/>
      <c r="C104" s="349"/>
      <c r="D104" s="349"/>
      <c r="E104" s="946"/>
      <c r="F104" s="947"/>
      <c r="G104" s="940"/>
      <c r="H104" s="941"/>
      <c r="I104" s="941"/>
    </row>
    <row r="105" spans="1:9" ht="60.75" hidden="1" thickBot="1">
      <c r="A105" s="987" t="s">
        <v>1022</v>
      </c>
      <c r="B105" s="991"/>
      <c r="C105" s="987"/>
      <c r="D105" s="987"/>
      <c r="E105" s="988"/>
      <c r="F105" s="989"/>
      <c r="G105" s="990"/>
      <c r="H105" s="990"/>
      <c r="I105" s="990"/>
    </row>
    <row r="106" spans="1:9" ht="15.75" hidden="1" thickBot="1">
      <c r="A106" s="936" t="s">
        <v>990</v>
      </c>
      <c r="B106" s="937"/>
      <c r="C106" s="947"/>
      <c r="D106" s="349"/>
      <c r="E106" s="946"/>
      <c r="F106" s="947"/>
      <c r="G106" s="940"/>
      <c r="H106" s="940"/>
      <c r="I106" s="940"/>
    </row>
    <row r="107" spans="1:9" ht="15.75" hidden="1" thickBot="1">
      <c r="A107" s="936" t="s">
        <v>992</v>
      </c>
      <c r="B107" s="937"/>
      <c r="C107" s="947"/>
      <c r="D107" s="947"/>
      <c r="E107" s="946"/>
      <c r="F107" s="947"/>
      <c r="G107" s="940"/>
      <c r="H107" s="940"/>
      <c r="I107" s="940"/>
    </row>
    <row r="108" spans="1:9" ht="15.75" hidden="1" thickBot="1">
      <c r="A108" s="936" t="s">
        <v>994</v>
      </c>
      <c r="B108" s="937"/>
      <c r="C108" s="349"/>
      <c r="D108" s="349"/>
      <c r="E108" s="946"/>
      <c r="F108" s="947"/>
      <c r="G108" s="940"/>
      <c r="H108" s="940"/>
      <c r="I108" s="940"/>
    </row>
    <row r="109" spans="1:9" ht="15.75" hidden="1" thickBot="1">
      <c r="A109" s="937" t="s">
        <v>995</v>
      </c>
      <c r="B109" s="937"/>
      <c r="C109" s="947"/>
      <c r="D109" s="349"/>
      <c r="E109" s="946"/>
      <c r="F109" s="947"/>
      <c r="G109" s="940"/>
      <c r="H109" s="940"/>
      <c r="I109" s="940"/>
    </row>
    <row r="110" spans="1:9" ht="15.75" hidden="1" thickBot="1">
      <c r="A110" s="937" t="s">
        <v>996</v>
      </c>
      <c r="B110" s="937"/>
      <c r="C110" s="947"/>
      <c r="D110" s="349"/>
      <c r="E110" s="946"/>
      <c r="F110" s="947"/>
      <c r="G110" s="940"/>
      <c r="H110" s="940"/>
      <c r="I110" s="940"/>
    </row>
    <row r="111" spans="1:9" ht="24.75" hidden="1" thickBot="1">
      <c r="A111" s="936" t="s">
        <v>998</v>
      </c>
      <c r="B111" s="937"/>
      <c r="C111" s="947"/>
      <c r="D111" s="349"/>
      <c r="E111" s="946"/>
      <c r="F111" s="947"/>
      <c r="G111" s="940"/>
      <c r="H111" s="940"/>
      <c r="I111" s="940"/>
    </row>
    <row r="112" spans="1:9" ht="15.75" hidden="1" thickBot="1">
      <c r="A112" s="937"/>
      <c r="B112" s="937"/>
      <c r="C112" s="349"/>
      <c r="D112" s="349"/>
      <c r="E112" s="946"/>
      <c r="F112" s="947"/>
      <c r="G112" s="940"/>
      <c r="H112" s="941"/>
      <c r="I112" s="941"/>
    </row>
    <row r="113" spans="1:9" ht="36.75" hidden="1" thickBot="1">
      <c r="A113" s="987" t="s">
        <v>1023</v>
      </c>
      <c r="B113" s="987"/>
      <c r="C113" s="987"/>
      <c r="D113" s="987"/>
      <c r="E113" s="988"/>
      <c r="F113" s="989"/>
      <c r="G113" s="990"/>
      <c r="H113" s="990"/>
      <c r="I113" s="990"/>
    </row>
    <row r="114" spans="1:9" ht="15.75" hidden="1" thickBot="1">
      <c r="A114" s="936" t="s">
        <v>990</v>
      </c>
      <c r="B114" s="937"/>
      <c r="C114" s="947"/>
      <c r="D114" s="349"/>
      <c r="E114" s="946"/>
      <c r="F114" s="947"/>
      <c r="G114" s="940"/>
      <c r="H114" s="940"/>
      <c r="I114" s="940"/>
    </row>
    <row r="115" spans="1:9" ht="15.75" hidden="1" thickBot="1">
      <c r="A115" s="936" t="s">
        <v>994</v>
      </c>
      <c r="B115" s="937"/>
      <c r="C115" s="349"/>
      <c r="D115" s="349"/>
      <c r="E115" s="946"/>
      <c r="F115" s="947"/>
      <c r="G115" s="940"/>
      <c r="H115" s="940"/>
      <c r="I115" s="940"/>
    </row>
    <row r="116" spans="1:9" ht="15.75" hidden="1" thickBot="1">
      <c r="A116" s="937" t="s">
        <v>995</v>
      </c>
      <c r="B116" s="937"/>
      <c r="C116" s="947"/>
      <c r="D116" s="349"/>
      <c r="E116" s="946"/>
      <c r="F116" s="947"/>
      <c r="G116" s="940"/>
      <c r="H116" s="940"/>
      <c r="I116" s="940"/>
    </row>
    <row r="117" spans="1:9" ht="24.75" hidden="1" thickBot="1">
      <c r="A117" s="937" t="s">
        <v>1024</v>
      </c>
      <c r="B117" s="937"/>
      <c r="C117" s="349"/>
      <c r="D117" s="349"/>
      <c r="E117" s="946"/>
      <c r="F117" s="947"/>
      <c r="G117" s="940"/>
      <c r="H117" s="940"/>
      <c r="I117" s="940"/>
    </row>
    <row r="118" spans="1:9" ht="24.75" hidden="1" thickBot="1">
      <c r="A118" s="936" t="s">
        <v>998</v>
      </c>
      <c r="B118" s="937"/>
      <c r="C118" s="947"/>
      <c r="D118" s="349"/>
      <c r="E118" s="946"/>
      <c r="F118" s="947"/>
      <c r="G118" s="940"/>
      <c r="H118" s="940"/>
      <c r="I118" s="940"/>
    </row>
    <row r="119" spans="1:9" ht="15.75" hidden="1" thickBot="1">
      <c r="A119" s="937"/>
      <c r="B119" s="937"/>
      <c r="C119" s="349"/>
      <c r="D119" s="349"/>
      <c r="E119" s="946"/>
      <c r="F119" s="947"/>
      <c r="G119" s="940"/>
      <c r="H119" s="941"/>
      <c r="I119" s="941"/>
    </row>
    <row r="120" spans="1:9" ht="48.75" hidden="1" thickBot="1">
      <c r="A120" s="987" t="s">
        <v>1025</v>
      </c>
      <c r="B120" s="987"/>
      <c r="C120" s="987"/>
      <c r="D120" s="987"/>
      <c r="E120" s="988"/>
      <c r="F120" s="989"/>
      <c r="G120" s="990"/>
      <c r="H120" s="990"/>
      <c r="I120" s="990"/>
    </row>
    <row r="121" spans="1:9" ht="15.75" hidden="1" thickBot="1">
      <c r="A121" s="936" t="s">
        <v>990</v>
      </c>
      <c r="B121" s="937"/>
      <c r="C121" s="947"/>
      <c r="D121" s="349"/>
      <c r="E121" s="946"/>
      <c r="F121" s="947"/>
      <c r="G121" s="940"/>
      <c r="H121" s="940"/>
      <c r="I121" s="940"/>
    </row>
    <row r="122" spans="1:9" ht="15.75" hidden="1" thickBot="1">
      <c r="A122" s="936" t="s">
        <v>991</v>
      </c>
      <c r="B122" s="937"/>
      <c r="C122" s="947"/>
      <c r="D122" s="349"/>
      <c r="E122" s="946"/>
      <c r="F122" s="947"/>
      <c r="G122" s="940"/>
      <c r="H122" s="940"/>
      <c r="I122" s="940"/>
    </row>
    <row r="123" spans="1:9" ht="15.75" hidden="1" thickBot="1">
      <c r="A123" s="936" t="s">
        <v>994</v>
      </c>
      <c r="B123" s="937"/>
      <c r="C123" s="349"/>
      <c r="D123" s="349"/>
      <c r="E123" s="946"/>
      <c r="F123" s="947"/>
      <c r="G123" s="940"/>
      <c r="H123" s="940"/>
      <c r="I123" s="940"/>
    </row>
    <row r="124" spans="1:9" ht="15.75" hidden="1" thickBot="1">
      <c r="A124" s="937" t="s">
        <v>995</v>
      </c>
      <c r="B124" s="937"/>
      <c r="C124" s="947"/>
      <c r="D124" s="349"/>
      <c r="E124" s="946"/>
      <c r="F124" s="947"/>
      <c r="G124" s="940"/>
      <c r="H124" s="940"/>
      <c r="I124" s="940"/>
    </row>
    <row r="125" spans="1:9" ht="15.75" hidden="1" thickBot="1">
      <c r="A125" s="937" t="s">
        <v>996</v>
      </c>
      <c r="B125" s="937"/>
      <c r="C125" s="947"/>
      <c r="D125" s="349"/>
      <c r="E125" s="946"/>
      <c r="F125" s="947"/>
      <c r="G125" s="940"/>
      <c r="H125" s="940"/>
      <c r="I125" s="940"/>
    </row>
    <row r="126" spans="1:9" ht="24.75" hidden="1" thickBot="1">
      <c r="A126" s="937" t="s">
        <v>1014</v>
      </c>
      <c r="B126" s="937"/>
      <c r="C126" s="947"/>
      <c r="D126" s="349"/>
      <c r="E126" s="946"/>
      <c r="F126" s="947"/>
      <c r="G126" s="940"/>
      <c r="H126" s="940"/>
      <c r="I126" s="940"/>
    </row>
    <row r="127" spans="1:9" ht="15.75" hidden="1" thickBot="1">
      <c r="A127" s="948" t="s">
        <v>1021</v>
      </c>
      <c r="B127" s="937"/>
      <c r="C127" s="947"/>
      <c r="D127" s="349"/>
      <c r="E127" s="946"/>
      <c r="F127" s="947"/>
      <c r="G127" s="940"/>
      <c r="H127" s="940"/>
      <c r="I127" s="940"/>
    </row>
    <row r="128" spans="1:9" ht="15.75" hidden="1" thickBot="1">
      <c r="A128" s="936" t="s">
        <v>1005</v>
      </c>
      <c r="B128" s="937"/>
      <c r="C128" s="947"/>
      <c r="D128" s="349"/>
      <c r="E128" s="946"/>
      <c r="F128" s="947"/>
      <c r="G128" s="940"/>
      <c r="H128" s="940"/>
      <c r="I128" s="940"/>
    </row>
    <row r="129" spans="1:9" ht="15.75" hidden="1" thickBot="1">
      <c r="A129" s="952" t="s">
        <v>1026</v>
      </c>
      <c r="B129" s="937"/>
      <c r="C129" s="947"/>
      <c r="D129" s="349"/>
      <c r="E129" s="946"/>
      <c r="F129" s="947"/>
      <c r="G129" s="940"/>
      <c r="H129" s="940"/>
      <c r="I129" s="940"/>
    </row>
    <row r="130" spans="1:9" ht="15.75" hidden="1" thickBot="1">
      <c r="A130" s="349"/>
      <c r="B130" s="349"/>
      <c r="C130" s="349"/>
      <c r="D130" s="349"/>
      <c r="E130" s="946"/>
      <c r="F130" s="947"/>
      <c r="G130" s="940"/>
      <c r="H130" s="941"/>
      <c r="I130" s="941"/>
    </row>
    <row r="131" spans="1:9" ht="24.75" hidden="1" thickBot="1">
      <c r="A131" s="987" t="s">
        <v>1027</v>
      </c>
      <c r="B131" s="992"/>
      <c r="C131" s="993"/>
      <c r="D131" s="994"/>
      <c r="E131" s="995"/>
      <c r="F131" s="989"/>
      <c r="G131" s="990"/>
      <c r="H131" s="990"/>
      <c r="I131" s="990"/>
    </row>
    <row r="132" spans="1:9" ht="36.75" hidden="1" thickBot="1">
      <c r="A132" s="987" t="s">
        <v>1028</v>
      </c>
      <c r="B132" s="992"/>
      <c r="C132" s="993"/>
      <c r="D132" s="994"/>
      <c r="E132" s="995"/>
      <c r="F132" s="989"/>
      <c r="G132" s="990"/>
      <c r="H132" s="990"/>
      <c r="I132" s="990"/>
    </row>
    <row r="133" spans="1:9" ht="48.75" hidden="1" thickBot="1">
      <c r="A133" s="987" t="s">
        <v>1029</v>
      </c>
      <c r="B133" s="992"/>
      <c r="C133" s="993"/>
      <c r="D133" s="994"/>
      <c r="E133" s="995"/>
      <c r="F133" s="989"/>
      <c r="G133" s="990"/>
      <c r="H133" s="990"/>
      <c r="I133" s="990"/>
    </row>
    <row r="134" spans="1:9" ht="48.75" hidden="1" thickBot="1">
      <c r="A134" s="987" t="s">
        <v>1030</v>
      </c>
      <c r="B134" s="992"/>
      <c r="C134" s="993"/>
      <c r="D134" s="994"/>
      <c r="E134" s="995"/>
      <c r="F134" s="989"/>
      <c r="G134" s="990"/>
      <c r="H134" s="990"/>
      <c r="I134" s="990"/>
    </row>
    <row r="135" spans="1:9" ht="48.75" hidden="1" thickBot="1">
      <c r="A135" s="987" t="s">
        <v>1031</v>
      </c>
      <c r="B135" s="992"/>
      <c r="C135" s="993"/>
      <c r="D135" s="994"/>
      <c r="E135" s="995"/>
      <c r="F135" s="989"/>
      <c r="G135" s="990"/>
      <c r="H135" s="990"/>
      <c r="I135" s="990"/>
    </row>
    <row r="136" spans="1:9" ht="48.75" hidden="1" thickBot="1">
      <c r="A136" s="987" t="s">
        <v>1032</v>
      </c>
      <c r="B136" s="992"/>
      <c r="C136" s="993"/>
      <c r="D136" s="994"/>
      <c r="E136" s="995"/>
      <c r="F136" s="989"/>
      <c r="G136" s="990"/>
      <c r="H136" s="990"/>
      <c r="I136" s="990"/>
    </row>
    <row r="137" spans="1:9" ht="60.75" hidden="1" thickBot="1">
      <c r="A137" s="987" t="s">
        <v>1033</v>
      </c>
      <c r="B137" s="992"/>
      <c r="C137" s="993"/>
      <c r="D137" s="994"/>
      <c r="E137" s="995"/>
      <c r="F137" s="989"/>
      <c r="G137" s="990"/>
      <c r="H137" s="990"/>
      <c r="I137" s="990"/>
    </row>
    <row r="138" spans="1:9" ht="48.75" hidden="1" thickBot="1">
      <c r="A138" s="996" t="s">
        <v>1034</v>
      </c>
      <c r="B138" s="994"/>
      <c r="C138" s="989"/>
      <c r="D138" s="994"/>
      <c r="E138" s="995"/>
      <c r="F138" s="989"/>
      <c r="G138" s="990"/>
      <c r="H138" s="990"/>
      <c r="I138" s="990"/>
    </row>
    <row r="139" spans="1:9" ht="24.75" hidden="1" thickBot="1">
      <c r="A139" s="996" t="s">
        <v>1035</v>
      </c>
      <c r="B139" s="994"/>
      <c r="C139" s="989"/>
      <c r="D139" s="994"/>
      <c r="E139" s="995"/>
      <c r="F139" s="989"/>
      <c r="G139" s="990"/>
      <c r="H139" s="990"/>
      <c r="I139" s="990"/>
    </row>
    <row r="140" spans="1:9" ht="15.75" hidden="1" thickBot="1">
      <c r="A140" s="958"/>
      <c r="B140" s="959"/>
      <c r="C140" s="960"/>
      <c r="D140" s="920"/>
      <c r="E140" s="960"/>
      <c r="F140" s="961"/>
      <c r="G140" s="962"/>
      <c r="H140" s="962"/>
      <c r="I140" s="962"/>
    </row>
    <row r="141" spans="1:9" ht="15.75" hidden="1" thickBot="1">
      <c r="A141" s="958"/>
      <c r="B141" s="959"/>
      <c r="C141" s="960"/>
      <c r="D141" s="920"/>
      <c r="E141" s="960"/>
      <c r="F141" s="961"/>
      <c r="G141" s="962"/>
      <c r="H141" s="962"/>
      <c r="I141" s="962"/>
    </row>
    <row r="142" spans="1:9" ht="15.75" hidden="1" thickBot="1">
      <c r="A142" s="958"/>
      <c r="B142" s="959"/>
      <c r="C142" s="960"/>
      <c r="D142" s="920"/>
      <c r="E142" s="960"/>
      <c r="F142" s="961"/>
      <c r="G142" s="962"/>
      <c r="H142" s="962"/>
      <c r="I142" s="962"/>
    </row>
    <row r="143" spans="1:9" ht="15.75" hidden="1" thickBot="1">
      <c r="A143" s="958"/>
      <c r="B143" s="959"/>
      <c r="C143" s="960"/>
      <c r="D143" s="920"/>
      <c r="E143" s="960"/>
      <c r="F143" s="961"/>
      <c r="G143" s="962"/>
      <c r="H143" s="962"/>
      <c r="I143" s="962"/>
    </row>
    <row r="144" spans="1:9" ht="15.75" hidden="1" thickBot="1">
      <c r="A144" s="997"/>
      <c r="B144" s="997"/>
      <c r="C144" s="997"/>
      <c r="D144" s="997"/>
      <c r="E144" s="998"/>
      <c r="F144" s="998"/>
      <c r="G144" s="997"/>
      <c r="H144" s="997"/>
      <c r="I144" s="997"/>
    </row>
    <row r="145" spans="1:9" ht="15.75" thickBot="1">
      <c r="A145" s="965" t="s">
        <v>812</v>
      </c>
      <c r="B145" s="966"/>
      <c r="C145" s="966"/>
      <c r="D145" s="966"/>
      <c r="E145" s="967"/>
      <c r="F145" s="967"/>
      <c r="G145" s="968">
        <f>H145+I145</f>
        <v>3306476.2300000009</v>
      </c>
      <c r="H145" s="967">
        <f>H10+H23+H34+H46+H50+H59+H65+H73+H79+H88+H94+H105+H113+H120+H131+H132+H133+H134+H135+H136+H137+H138+H139</f>
        <v>2825335.6700000009</v>
      </c>
      <c r="I145" s="967">
        <f>I10+I23+I34+I50+I59+I79+I105</f>
        <v>481140.56</v>
      </c>
    </row>
    <row r="146" spans="1:9" ht="37.5" customHeight="1">
      <c r="A146" s="1012" t="s">
        <v>1037</v>
      </c>
      <c r="B146" s="1013" t="s">
        <v>21</v>
      </c>
      <c r="C146" s="1014">
        <v>0</v>
      </c>
      <c r="D146" s="1014">
        <v>30</v>
      </c>
      <c r="E146" s="1015">
        <v>0</v>
      </c>
      <c r="F146" s="1015">
        <v>2091.46</v>
      </c>
      <c r="G146" s="1016">
        <f>I146</f>
        <v>62743.8</v>
      </c>
      <c r="H146" s="1016"/>
      <c r="I146" s="1016">
        <f>ROUND(D146*F146,2)</f>
        <v>62743.8</v>
      </c>
    </row>
    <row r="147" spans="1:9" ht="13.5" customHeight="1">
      <c r="A147" s="1008" t="s">
        <v>1048</v>
      </c>
      <c r="B147" s="1011" t="s">
        <v>21</v>
      </c>
      <c r="C147" s="1009">
        <v>4</v>
      </c>
      <c r="D147" s="1009"/>
      <c r="E147" s="940">
        <v>2663.32</v>
      </c>
      <c r="F147" s="940"/>
      <c r="G147" s="1010">
        <f>H147+I147</f>
        <v>10653.28</v>
      </c>
      <c r="H147" s="1010">
        <f>ROUND(E147*C147,2)</f>
        <v>10653.28</v>
      </c>
      <c r="I147" s="1010"/>
    </row>
    <row r="148" spans="1:9" ht="18.75" customHeight="1" thickBot="1">
      <c r="A148" s="1017" t="s">
        <v>1049</v>
      </c>
      <c r="B148" s="1018" t="s">
        <v>21</v>
      </c>
      <c r="C148" s="1019">
        <v>4</v>
      </c>
      <c r="D148" s="1019"/>
      <c r="E148" s="1020">
        <v>2914.03</v>
      </c>
      <c r="F148" s="1020"/>
      <c r="G148" s="1021">
        <f>H148+I148</f>
        <v>11656.12</v>
      </c>
      <c r="H148" s="1021">
        <f>ROUND(E148*C148,2)</f>
        <v>11656.12</v>
      </c>
      <c r="I148" s="1021"/>
    </row>
    <row r="149" spans="1:9" ht="15.75" thickBot="1">
      <c r="A149" s="973" t="s">
        <v>1038</v>
      </c>
      <c r="B149" s="974"/>
      <c r="C149" s="974"/>
      <c r="D149" s="974"/>
      <c r="E149" s="975"/>
      <c r="F149" s="975"/>
      <c r="G149" s="976">
        <f>G145+G146+G147+G148</f>
        <v>3391529.4300000006</v>
      </c>
      <c r="H149" s="976">
        <f>H145+H146+H147+H148</f>
        <v>2847645.0700000008</v>
      </c>
      <c r="I149" s="977">
        <f>I145+I146</f>
        <v>543884.36</v>
      </c>
    </row>
    <row r="150" spans="1:9">
      <c r="A150" s="997"/>
      <c r="B150" s="997"/>
      <c r="C150" s="997"/>
      <c r="D150" s="997"/>
      <c r="E150" s="998"/>
      <c r="F150" s="998"/>
      <c r="G150" s="997"/>
      <c r="H150" s="997"/>
      <c r="I150" s="997"/>
    </row>
    <row r="151" spans="1:9">
      <c r="G151" s="359"/>
    </row>
  </sheetData>
  <mergeCells count="8">
    <mergeCell ref="A3:I3"/>
    <mergeCell ref="A4:I4"/>
    <mergeCell ref="A7:A9"/>
    <mergeCell ref="B7:B9"/>
    <mergeCell ref="C7:D8"/>
    <mergeCell ref="E7:F8"/>
    <mergeCell ref="G7:G9"/>
    <mergeCell ref="H7:I7"/>
  </mergeCells>
  <pageMargins left="0" right="0" top="0" bottom="0" header="0.31496062992125984" footer="0.31496062992125984"/>
  <pageSetup paperSize="9" scale="9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G171"/>
  <sheetViews>
    <sheetView tabSelected="1" topLeftCell="A3" workbookViewId="0">
      <selection activeCell="A3" sqref="A3:X167"/>
    </sheetView>
  </sheetViews>
  <sheetFormatPr defaultRowHeight="15"/>
  <cols>
    <col min="1" max="1" width="18.42578125" customWidth="1"/>
    <col min="2" max="6" width="0" hidden="1" customWidth="1"/>
    <col min="7" max="7" width="12.85546875" customWidth="1"/>
    <col min="8" max="8" width="11.42578125" bestFit="1" customWidth="1"/>
    <col min="9" max="9" width="10" bestFit="1" customWidth="1"/>
    <col min="14" max="14" width="10.28515625" customWidth="1"/>
    <col min="19" max="19" width="10.5703125" customWidth="1"/>
  </cols>
  <sheetData>
    <row r="1" spans="1:33" hidden="1"/>
    <row r="2" spans="1:33" hidden="1"/>
    <row r="3" spans="1:33" s="1024" customFormat="1">
      <c r="A3" s="927"/>
      <c r="B3" s="927"/>
      <c r="C3" s="927"/>
      <c r="D3" s="927"/>
      <c r="E3" s="928"/>
      <c r="F3" s="928"/>
      <c r="G3" s="929"/>
      <c r="H3" s="929"/>
      <c r="I3" s="929"/>
      <c r="J3" s="1022"/>
      <c r="K3" s="1022"/>
      <c r="L3" s="1022"/>
      <c r="M3" s="1022"/>
      <c r="N3" s="1022"/>
      <c r="O3" s="1022"/>
      <c r="P3" s="1022"/>
      <c r="Q3" s="1022"/>
      <c r="R3" s="1022"/>
      <c r="S3" s="1022"/>
      <c r="T3" s="1022"/>
      <c r="U3" s="1022"/>
      <c r="V3" s="1022"/>
      <c r="W3" s="1022"/>
      <c r="X3" s="1022"/>
      <c r="Y3" s="1022"/>
      <c r="Z3" s="1022"/>
      <c r="AA3" s="1022"/>
      <c r="AB3" s="1023"/>
      <c r="AC3" s="1023"/>
      <c r="AD3" s="1023"/>
    </row>
    <row r="4" spans="1:33" s="1024" customFormat="1">
      <c r="A4" s="1025" t="s">
        <v>981</v>
      </c>
      <c r="B4" s="1025"/>
      <c r="C4" s="1025"/>
      <c r="D4" s="1025"/>
      <c r="E4" s="1025"/>
      <c r="F4" s="1025"/>
      <c r="G4" s="1025"/>
      <c r="H4" s="1025"/>
      <c r="I4" s="1025"/>
      <c r="J4" s="1022"/>
      <c r="K4" s="1022"/>
      <c r="L4" s="1022"/>
      <c r="M4" s="1022"/>
      <c r="N4" s="1022"/>
      <c r="O4" s="1022"/>
      <c r="P4" s="1022"/>
      <c r="Q4" s="1022"/>
      <c r="R4" s="1022"/>
      <c r="S4" s="1022"/>
      <c r="T4" s="1022"/>
      <c r="U4" s="1022"/>
      <c r="V4" s="1022"/>
      <c r="W4" s="1022"/>
      <c r="X4" s="1022"/>
      <c r="Y4" s="1022"/>
      <c r="Z4" s="1022"/>
      <c r="AA4" s="1022"/>
      <c r="AB4" s="1023"/>
      <c r="AC4" s="1023"/>
      <c r="AD4" s="1023"/>
    </row>
    <row r="5" spans="1:33" s="1024" customFormat="1">
      <c r="A5" s="1146" t="s">
        <v>1052</v>
      </c>
      <c r="B5" s="1146"/>
      <c r="C5" s="1146"/>
      <c r="D5" s="1146"/>
      <c r="E5" s="1146"/>
      <c r="F5" s="1146"/>
      <c r="G5" s="1146"/>
      <c r="H5" s="1146"/>
      <c r="I5" s="1146"/>
      <c r="J5" s="1022"/>
      <c r="K5" s="1022"/>
      <c r="L5" s="1022"/>
      <c r="M5" s="1022"/>
      <c r="N5" s="1022"/>
      <c r="O5" s="1022"/>
      <c r="P5" s="1022"/>
      <c r="Q5" s="1022"/>
      <c r="R5" s="1022"/>
      <c r="S5" s="1022"/>
      <c r="T5" s="1022"/>
      <c r="U5" s="1022"/>
      <c r="V5" s="1022"/>
      <c r="W5" s="1022"/>
      <c r="X5" s="1022"/>
      <c r="Y5" s="1022"/>
      <c r="Z5" s="1022"/>
      <c r="AA5" s="1022"/>
      <c r="AB5" s="1023"/>
      <c r="AC5" s="1023"/>
      <c r="AD5" s="1023"/>
    </row>
    <row r="6" spans="1:33" s="1024" customFormat="1">
      <c r="A6" s="929" t="s">
        <v>1051</v>
      </c>
      <c r="B6" s="930"/>
      <c r="C6" s="930"/>
      <c r="D6" s="930"/>
      <c r="E6" s="930"/>
      <c r="F6" s="930"/>
      <c r="G6" s="930"/>
      <c r="H6" s="930"/>
      <c r="I6" s="930"/>
      <c r="J6" s="1022"/>
      <c r="K6" s="1022"/>
      <c r="L6" s="1022"/>
      <c r="M6" s="1022"/>
      <c r="N6" s="1022"/>
      <c r="O6" s="1022"/>
      <c r="P6" s="1022"/>
      <c r="Q6" s="1022"/>
      <c r="R6" s="1022"/>
      <c r="S6" s="1022"/>
      <c r="T6" s="1022"/>
      <c r="U6" s="1022"/>
      <c r="V6" s="1022"/>
      <c r="W6" s="1022"/>
      <c r="X6" s="1022"/>
      <c r="Y6" s="1022"/>
      <c r="Z6" s="1022"/>
      <c r="AA6" s="1022"/>
      <c r="AB6" s="1023"/>
      <c r="AC6" s="1023"/>
      <c r="AD6" s="1023"/>
    </row>
    <row r="7" spans="1:33" s="1024" customFormat="1">
      <c r="A7" s="929"/>
      <c r="B7" s="930"/>
      <c r="C7" s="930"/>
      <c r="D7" s="930"/>
      <c r="E7" s="930"/>
      <c r="F7" s="930"/>
      <c r="G7" s="930"/>
      <c r="H7" s="930"/>
      <c r="I7" s="930"/>
      <c r="J7" s="1022"/>
      <c r="K7" s="1022"/>
      <c r="L7" s="1022"/>
      <c r="M7" s="1022"/>
      <c r="N7" s="1022"/>
      <c r="O7" s="1022"/>
      <c r="P7" s="1022"/>
      <c r="Q7" s="1022"/>
      <c r="R7" s="1022"/>
      <c r="S7" s="1022"/>
      <c r="T7" s="1022"/>
      <c r="U7" s="1022"/>
      <c r="V7" s="1022"/>
      <c r="W7" s="1022"/>
      <c r="X7" s="1022"/>
      <c r="Y7" s="1022"/>
      <c r="Z7" s="1022"/>
      <c r="AA7" s="1022"/>
      <c r="AB7" s="1023"/>
      <c r="AC7" s="1023"/>
      <c r="AD7" s="1023"/>
    </row>
    <row r="8" spans="1:33" s="1024" customFormat="1" hidden="1">
      <c r="A8" s="1026" t="s">
        <v>1053</v>
      </c>
      <c r="B8" s="1027"/>
      <c r="C8" s="1027"/>
      <c r="D8" s="1027"/>
      <c r="E8" s="1027"/>
      <c r="F8" s="1027"/>
      <c r="G8" s="1027">
        <v>1</v>
      </c>
      <c r="H8" s="930"/>
      <c r="I8" s="930"/>
      <c r="J8" s="1022"/>
      <c r="K8" s="1022"/>
      <c r="L8" s="1022"/>
      <c r="M8" s="1022"/>
      <c r="N8" s="1022"/>
      <c r="O8" s="1022"/>
      <c r="P8" s="1022"/>
      <c r="Q8" s="1022"/>
      <c r="R8" s="1022"/>
      <c r="S8" s="1022"/>
      <c r="T8" s="1022"/>
      <c r="U8" s="1022"/>
      <c r="V8" s="1022"/>
      <c r="W8" s="1022"/>
      <c r="X8" s="1022"/>
      <c r="Y8" s="1022"/>
      <c r="Z8" s="1022"/>
      <c r="AA8" s="1022"/>
      <c r="AB8" s="1023"/>
      <c r="AC8" s="1023"/>
      <c r="AD8" s="1023"/>
    </row>
    <row r="9" spans="1:33" s="1024" customFormat="1" ht="15.75" thickBot="1">
      <c r="A9" s="927"/>
      <c r="B9" s="927"/>
      <c r="C9" s="927"/>
      <c r="D9" s="927"/>
      <c r="E9" s="928"/>
      <c r="F9" s="928"/>
      <c r="G9" s="927"/>
      <c r="H9" s="927"/>
      <c r="I9" s="928"/>
      <c r="J9" s="927"/>
      <c r="K9" s="927"/>
      <c r="L9" s="927"/>
      <c r="M9" s="927"/>
      <c r="N9" s="927"/>
      <c r="O9" s="927"/>
      <c r="P9" s="927"/>
      <c r="Q9" s="927"/>
      <c r="R9" s="927"/>
      <c r="S9" s="927"/>
      <c r="T9" s="927"/>
      <c r="U9" s="927"/>
      <c r="V9" s="927"/>
      <c r="W9" s="927"/>
      <c r="X9" s="927"/>
      <c r="Y9" s="927"/>
      <c r="Z9" s="927"/>
      <c r="AA9" s="927"/>
      <c r="AB9" s="1028"/>
      <c r="AC9" s="1028"/>
      <c r="AD9" s="1028"/>
      <c r="AE9" s="1028"/>
      <c r="AF9" s="1028"/>
      <c r="AG9" s="1028"/>
    </row>
    <row r="10" spans="1:33" s="1024" customFormat="1" ht="23.25" customHeight="1" thickBot="1">
      <c r="A10" s="1147" t="s">
        <v>984</v>
      </c>
      <c r="B10" s="1150" t="s">
        <v>243</v>
      </c>
      <c r="C10" s="1153" t="s">
        <v>97</v>
      </c>
      <c r="D10" s="1154"/>
      <c r="E10" s="1153" t="s">
        <v>985</v>
      </c>
      <c r="F10" s="1154"/>
      <c r="G10" s="1157" t="s">
        <v>812</v>
      </c>
      <c r="H10" s="1160" t="s">
        <v>986</v>
      </c>
      <c r="I10" s="1161"/>
      <c r="J10" s="1134" t="s">
        <v>1054</v>
      </c>
      <c r="K10" s="1135"/>
      <c r="L10" s="1135"/>
      <c r="M10" s="1135"/>
      <c r="N10" s="1135"/>
      <c r="O10" s="1136"/>
      <c r="P10" s="1137" t="s">
        <v>1055</v>
      </c>
      <c r="Q10" s="1138"/>
      <c r="R10" s="1138"/>
      <c r="S10" s="1138"/>
      <c r="T10" s="1138"/>
      <c r="U10" s="1138"/>
      <c r="V10" s="1138"/>
      <c r="W10" s="1138"/>
      <c r="X10" s="1139"/>
      <c r="Y10" s="1137" t="s">
        <v>1056</v>
      </c>
      <c r="Z10" s="1138"/>
      <c r="AA10" s="1139"/>
      <c r="AB10" s="1028"/>
      <c r="AC10" s="1028"/>
      <c r="AD10" s="1028"/>
      <c r="AE10" s="1028"/>
      <c r="AF10" s="1028"/>
      <c r="AG10" s="1028"/>
    </row>
    <row r="11" spans="1:33" s="1024" customFormat="1" ht="15.75" thickBot="1">
      <c r="A11" s="1148"/>
      <c r="B11" s="1151"/>
      <c r="C11" s="1155"/>
      <c r="D11" s="1156"/>
      <c r="E11" s="1155"/>
      <c r="F11" s="1156"/>
      <c r="G11" s="1158"/>
      <c r="H11" s="931">
        <v>183</v>
      </c>
      <c r="I11" s="932">
        <v>182</v>
      </c>
      <c r="J11" s="1140" t="s">
        <v>1057</v>
      </c>
      <c r="K11" s="1029">
        <v>31</v>
      </c>
      <c r="L11" s="1029">
        <v>31</v>
      </c>
      <c r="M11" s="1029">
        <v>28</v>
      </c>
      <c r="N11" s="1142" t="s">
        <v>813</v>
      </c>
      <c r="O11" s="1029">
        <v>25</v>
      </c>
      <c r="P11" s="1030">
        <v>6</v>
      </c>
      <c r="Q11" s="1030">
        <v>30</v>
      </c>
      <c r="R11" s="1031">
        <v>31</v>
      </c>
      <c r="S11" s="1142" t="s">
        <v>814</v>
      </c>
      <c r="T11" s="1030">
        <v>30</v>
      </c>
      <c r="U11" s="1032">
        <v>31</v>
      </c>
      <c r="V11" s="1033">
        <v>31</v>
      </c>
      <c r="W11" s="1162" t="s">
        <v>815</v>
      </c>
      <c r="X11" s="1034">
        <v>24</v>
      </c>
      <c r="Y11" s="1035">
        <v>6</v>
      </c>
      <c r="Z11" s="1036">
        <v>31</v>
      </c>
      <c r="AA11" s="1036">
        <v>30</v>
      </c>
      <c r="AB11" s="1028"/>
      <c r="AC11" s="1028"/>
      <c r="AD11" s="1028"/>
      <c r="AE11" s="1028"/>
      <c r="AF11" s="1028"/>
      <c r="AG11" s="1028"/>
    </row>
    <row r="12" spans="1:33" s="1024" customFormat="1" ht="35.25" thickBot="1">
      <c r="A12" s="1149"/>
      <c r="B12" s="1152"/>
      <c r="C12" s="932" t="s">
        <v>987</v>
      </c>
      <c r="D12" s="932" t="s">
        <v>988</v>
      </c>
      <c r="E12" s="932" t="s">
        <v>987</v>
      </c>
      <c r="F12" s="932" t="s">
        <v>988</v>
      </c>
      <c r="G12" s="1159"/>
      <c r="H12" s="932" t="s">
        <v>987</v>
      </c>
      <c r="I12" s="932" t="s">
        <v>988</v>
      </c>
      <c r="J12" s="1141"/>
      <c r="K12" s="1037" t="s">
        <v>1058</v>
      </c>
      <c r="L12" s="1037" t="s">
        <v>1059</v>
      </c>
      <c r="M12" s="1037" t="s">
        <v>1060</v>
      </c>
      <c r="N12" s="1143"/>
      <c r="O12" s="1037" t="s">
        <v>1061</v>
      </c>
      <c r="P12" s="1038" t="s">
        <v>1062</v>
      </c>
      <c r="Q12" s="1038" t="s">
        <v>1063</v>
      </c>
      <c r="R12" s="1038" t="s">
        <v>1064</v>
      </c>
      <c r="S12" s="1143"/>
      <c r="T12" s="1038" t="s">
        <v>1065</v>
      </c>
      <c r="U12" s="1039" t="s">
        <v>1066</v>
      </c>
      <c r="V12" s="1040" t="s">
        <v>1067</v>
      </c>
      <c r="W12" s="1163"/>
      <c r="X12" s="1041" t="s">
        <v>1068</v>
      </c>
      <c r="Y12" s="1042" t="s">
        <v>1069</v>
      </c>
      <c r="Z12" s="1043" t="s">
        <v>1070</v>
      </c>
      <c r="AA12" s="1044" t="s">
        <v>1071</v>
      </c>
      <c r="AB12" s="1028"/>
      <c r="AC12" s="1028"/>
      <c r="AD12" s="1028"/>
      <c r="AE12" s="1028"/>
      <c r="AF12" s="1028"/>
      <c r="AG12" s="1028"/>
    </row>
    <row r="13" spans="1:33" s="1024" customFormat="1" ht="15.75" thickBot="1">
      <c r="A13" s="1054" t="s">
        <v>1072</v>
      </c>
      <c r="B13" s="966"/>
      <c r="C13" s="966"/>
      <c r="D13" s="966"/>
      <c r="E13" s="967"/>
      <c r="F13" s="967"/>
      <c r="G13" s="968">
        <f>H13+I13</f>
        <v>3438621.5700000008</v>
      </c>
      <c r="H13" s="967">
        <f>'2014'!H145</f>
        <v>2956302.6600000006</v>
      </c>
      <c r="I13" s="967">
        <f>'2014'!I145</f>
        <v>482318.91000000003</v>
      </c>
      <c r="J13" s="1055">
        <f>K13+L13+M13</f>
        <v>238509.35</v>
      </c>
      <c r="K13" s="1056">
        <f>ROUND(I13/I11*K11*G8,2)</f>
        <v>82153.22</v>
      </c>
      <c r="L13" s="1056">
        <f>ROUND(I13/I11*L11*G8,2)</f>
        <v>82153.22</v>
      </c>
      <c r="M13" s="1056">
        <f>ROUND(I13/I11*M11*G8,2)</f>
        <v>74202.91</v>
      </c>
      <c r="N13" s="1057">
        <f>O13+P13+Q13+R13</f>
        <v>1148614.78</v>
      </c>
      <c r="O13" s="1056">
        <f>ROUND(I13/I11*O11*G8,2)</f>
        <v>66252.600000000006</v>
      </c>
      <c r="P13" s="1056">
        <f>ROUND(H13/H11*P11*G8,2)</f>
        <v>96927.96</v>
      </c>
      <c r="Q13" s="1056">
        <f>ROUND(H13/H11*Q11*G8,2)</f>
        <v>484639.78</v>
      </c>
      <c r="R13" s="1056">
        <f>ROUND(H13/H11*R11*G8,2)</f>
        <v>500794.44</v>
      </c>
      <c r="S13" s="1055">
        <f>T13+U13+V13</f>
        <v>1486228.66</v>
      </c>
      <c r="T13" s="1056">
        <f>ROUND(H13/H11*T11*G8,2)</f>
        <v>484639.78</v>
      </c>
      <c r="U13" s="1056">
        <f>ROUND(H13/H11*U11*G8,2)</f>
        <v>500794.44</v>
      </c>
      <c r="V13" s="1056">
        <f>ROUND(H13/H11*V11*G8,2)</f>
        <v>500794.44</v>
      </c>
      <c r="W13" s="1055">
        <f>X13+Y13+Z13+AA13</f>
        <v>565268.78</v>
      </c>
      <c r="X13" s="1056">
        <f>ROUND(H13/H11*X11*G8,2)</f>
        <v>387711.82</v>
      </c>
      <c r="Y13" s="1056">
        <f>ROUND(I13/I11*Y11*G8,2)</f>
        <v>15900.62</v>
      </c>
      <c r="Z13" s="1056">
        <f>ROUND(I13/I11*Z11*G8,2)</f>
        <v>82153.22</v>
      </c>
      <c r="AA13" s="1056">
        <f>ROUND(I13/I11*AA11*G8,2)</f>
        <v>79503.12</v>
      </c>
      <c r="AB13" s="1028"/>
      <c r="AC13" s="1028"/>
      <c r="AD13" s="1028"/>
      <c r="AE13" s="1028"/>
      <c r="AF13" s="1028"/>
      <c r="AG13" s="1028"/>
    </row>
    <row r="14" spans="1:33" s="1024" customFormat="1" ht="37.5" thickBot="1">
      <c r="A14" s="969" t="s">
        <v>1088</v>
      </c>
      <c r="B14" s="970" t="s">
        <v>21</v>
      </c>
      <c r="C14" s="970">
        <v>0</v>
      </c>
      <c r="D14" s="970">
        <v>32</v>
      </c>
      <c r="E14" s="971">
        <v>0</v>
      </c>
      <c r="F14" s="971">
        <v>2091.46</v>
      </c>
      <c r="G14" s="972">
        <f>H14+I14</f>
        <v>85053.200000000012</v>
      </c>
      <c r="H14" s="972">
        <f>'2014'!G147+'2014'!G148</f>
        <v>22309.4</v>
      </c>
      <c r="I14" s="999">
        <f>'2014'!G146</f>
        <v>62743.8</v>
      </c>
      <c r="J14" s="1058">
        <f>K14+L14+M14</f>
        <v>62743.8</v>
      </c>
      <c r="K14" s="1058"/>
      <c r="L14" s="1058"/>
      <c r="M14" s="1058">
        <f>ROUND(I14*G8,2)</f>
        <v>62743.8</v>
      </c>
      <c r="N14" s="1072">
        <f>Q14</f>
        <v>22309.4</v>
      </c>
      <c r="O14" s="1058"/>
      <c r="P14" s="1058"/>
      <c r="Q14" s="1072">
        <f>H14</f>
        <v>22309.4</v>
      </c>
      <c r="R14" s="1058"/>
      <c r="S14" s="1058"/>
      <c r="T14" s="1058"/>
      <c r="U14" s="1058"/>
      <c r="V14" s="1058"/>
      <c r="W14" s="1058"/>
      <c r="X14" s="1058"/>
      <c r="Y14" s="1058"/>
      <c r="Z14" s="1058"/>
      <c r="AA14" s="1058"/>
      <c r="AB14" s="1028"/>
      <c r="AC14" s="1028"/>
      <c r="AD14" s="1028"/>
      <c r="AE14" s="1028"/>
      <c r="AF14" s="1028"/>
      <c r="AG14" s="1028"/>
    </row>
    <row r="15" spans="1:33" s="1024" customFormat="1" ht="33.75" thickBot="1">
      <c r="A15" s="1059" t="s">
        <v>1073</v>
      </c>
      <c r="B15" s="1060"/>
      <c r="C15" s="974"/>
      <c r="D15" s="974"/>
      <c r="E15" s="975"/>
      <c r="F15" s="975"/>
      <c r="G15" s="1061">
        <f>G13+G14</f>
        <v>3523674.7700000009</v>
      </c>
      <c r="H15" s="968">
        <f>H13+H14</f>
        <v>2978612.0600000005</v>
      </c>
      <c r="I15" s="1062">
        <f>I13+I14</f>
        <v>545062.71000000008</v>
      </c>
      <c r="J15" s="1063">
        <f>J13+J14</f>
        <v>301253.15000000002</v>
      </c>
      <c r="K15" s="1029">
        <f t="shared" ref="K15:AA15" si="0">K13+K14</f>
        <v>82153.22</v>
      </c>
      <c r="L15" s="1029">
        <f t="shared" si="0"/>
        <v>82153.22</v>
      </c>
      <c r="M15" s="1029">
        <f t="shared" si="0"/>
        <v>136946.71000000002</v>
      </c>
      <c r="N15" s="1063">
        <f t="shared" si="0"/>
        <v>1170924.18</v>
      </c>
      <c r="O15" s="1029">
        <f t="shared" si="0"/>
        <v>66252.600000000006</v>
      </c>
      <c r="P15" s="1029">
        <f t="shared" si="0"/>
        <v>96927.96</v>
      </c>
      <c r="Q15" s="1029">
        <f t="shared" si="0"/>
        <v>506949.18000000005</v>
      </c>
      <c r="R15" s="1029">
        <f t="shared" si="0"/>
        <v>500794.44</v>
      </c>
      <c r="S15" s="1063">
        <f t="shared" si="0"/>
        <v>1486228.66</v>
      </c>
      <c r="T15" s="1029">
        <f t="shared" si="0"/>
        <v>484639.78</v>
      </c>
      <c r="U15" s="1029">
        <f t="shared" si="0"/>
        <v>500794.44</v>
      </c>
      <c r="V15" s="1029">
        <f t="shared" si="0"/>
        <v>500794.44</v>
      </c>
      <c r="W15" s="1063">
        <f>W13+W14</f>
        <v>565268.78</v>
      </c>
      <c r="X15" s="1029">
        <f>X13+X14</f>
        <v>387711.82</v>
      </c>
      <c r="Y15" s="1029">
        <f t="shared" si="0"/>
        <v>15900.62</v>
      </c>
      <c r="Z15" s="1029">
        <f t="shared" si="0"/>
        <v>82153.22</v>
      </c>
      <c r="AA15" s="1029">
        <f t="shared" si="0"/>
        <v>79503.12</v>
      </c>
      <c r="AB15" s="1028"/>
      <c r="AC15" s="1028"/>
      <c r="AD15" s="1028"/>
      <c r="AE15" s="1028"/>
      <c r="AF15" s="1028"/>
      <c r="AG15" s="1028"/>
    </row>
    <row r="16" spans="1:33" s="1024" customFormat="1">
      <c r="A16" s="963"/>
      <c r="B16" s="963"/>
      <c r="C16" s="963"/>
      <c r="D16" s="963"/>
      <c r="E16" s="964"/>
      <c r="F16" s="964"/>
      <c r="G16" s="964"/>
      <c r="H16" s="964"/>
      <c r="I16" s="964"/>
      <c r="J16" s="927"/>
      <c r="K16" s="928"/>
      <c r="L16" s="927"/>
      <c r="M16" s="927"/>
      <c r="N16" s="928"/>
      <c r="O16" s="927"/>
      <c r="P16" s="927"/>
      <c r="Q16" s="927"/>
      <c r="R16" s="927"/>
      <c r="S16" s="927"/>
      <c r="T16" s="927"/>
      <c r="U16" s="927"/>
      <c r="V16" s="927"/>
      <c r="W16" s="927"/>
      <c r="X16" s="927"/>
      <c r="Y16" s="927"/>
      <c r="Z16" s="927"/>
      <c r="AA16" s="927"/>
      <c r="AB16" s="1028"/>
      <c r="AC16" s="1028"/>
      <c r="AD16" s="1028"/>
      <c r="AE16" s="1028"/>
      <c r="AF16" s="1028"/>
      <c r="AG16" s="1028"/>
    </row>
    <row r="17" spans="1:33" s="1024" customFormat="1">
      <c r="A17" s="963"/>
      <c r="B17" s="963"/>
      <c r="C17" s="963"/>
      <c r="D17" s="963"/>
      <c r="E17" s="964"/>
      <c r="F17" s="964"/>
      <c r="G17" s="1064"/>
      <c r="H17" s="1064"/>
      <c r="I17" s="1064"/>
      <c r="J17" s="1022"/>
      <c r="K17" s="1065"/>
      <c r="L17" s="1022"/>
      <c r="M17" s="1022"/>
      <c r="N17" s="1022"/>
      <c r="O17" s="1022"/>
      <c r="P17" s="1022"/>
      <c r="Q17" s="1022"/>
      <c r="R17" s="1022"/>
      <c r="S17" s="1022"/>
      <c r="T17" s="1022"/>
      <c r="U17" s="1022"/>
      <c r="V17" s="1022"/>
      <c r="W17" s="1022"/>
      <c r="X17" s="1022"/>
      <c r="Y17" s="1022"/>
      <c r="Z17" s="1022"/>
      <c r="AA17" s="1022"/>
      <c r="AB17" s="1023"/>
      <c r="AC17" s="1023"/>
      <c r="AD17" s="1023"/>
    </row>
    <row r="18" spans="1:33" s="1024" customFormat="1">
      <c r="A18" s="927"/>
      <c r="B18" s="927"/>
      <c r="C18" s="927"/>
      <c r="D18" s="927"/>
      <c r="E18" s="928"/>
      <c r="F18" s="928"/>
      <c r="G18" s="929"/>
      <c r="H18" s="929"/>
      <c r="I18" s="929"/>
      <c r="J18" s="1022"/>
      <c r="K18" s="1022"/>
      <c r="L18" s="1022"/>
      <c r="M18" s="1022"/>
      <c r="N18" s="1022"/>
      <c r="O18" s="1022"/>
      <c r="P18" s="1022"/>
      <c r="Q18" s="1022"/>
      <c r="R18" s="1022"/>
      <c r="S18" s="1022"/>
      <c r="T18" s="1022"/>
      <c r="U18" s="1022"/>
      <c r="V18" s="1022"/>
      <c r="W18" s="1022"/>
      <c r="X18" s="1022"/>
      <c r="Y18" s="1022"/>
      <c r="Z18" s="1022"/>
      <c r="AA18" s="1022"/>
      <c r="AB18" s="1023"/>
      <c r="AC18" s="1023"/>
      <c r="AD18" s="1023"/>
    </row>
    <row r="19" spans="1:33" s="1024" customFormat="1">
      <c r="A19" s="1028"/>
      <c r="F19" s="1066"/>
      <c r="I19" s="1067"/>
      <c r="J19" s="1023"/>
      <c r="K19" s="1068"/>
      <c r="L19" s="1023"/>
      <c r="M19" s="1023"/>
      <c r="N19" s="1023"/>
      <c r="O19" s="1023"/>
      <c r="P19" s="1023"/>
      <c r="Q19" s="1023"/>
      <c r="R19" s="1023"/>
      <c r="S19" s="1023"/>
      <c r="T19" s="1023"/>
      <c r="U19" s="1023"/>
      <c r="V19" s="1023"/>
      <c r="W19" s="1023"/>
      <c r="X19" s="1023"/>
      <c r="Y19" s="1023"/>
      <c r="Z19" s="1023"/>
      <c r="AA19" s="1023"/>
      <c r="AB19" s="1023"/>
      <c r="AC19" s="1023"/>
      <c r="AD19" s="1023"/>
    </row>
    <row r="20" spans="1:33" s="1024" customFormat="1">
      <c r="A20" s="1025" t="s">
        <v>981</v>
      </c>
      <c r="B20" s="1025"/>
      <c r="C20" s="1025"/>
      <c r="D20" s="1025"/>
      <c r="E20" s="1025"/>
      <c r="F20" s="1025"/>
      <c r="G20" s="1025"/>
      <c r="H20" s="1025"/>
      <c r="I20" s="1025"/>
      <c r="J20" s="1022"/>
      <c r="K20" s="1022"/>
      <c r="L20" s="1022"/>
      <c r="M20" s="1022"/>
      <c r="N20" s="1022"/>
      <c r="O20" s="1022"/>
      <c r="P20" s="1022"/>
      <c r="Q20" s="1022"/>
      <c r="R20" s="1022"/>
      <c r="S20" s="1022"/>
      <c r="T20" s="1022"/>
      <c r="U20" s="1022"/>
      <c r="V20" s="1022"/>
      <c r="W20" s="1022"/>
      <c r="X20" s="1022"/>
      <c r="Y20" s="1022"/>
      <c r="Z20" s="1022"/>
      <c r="AA20" s="1022"/>
      <c r="AB20" s="1023"/>
      <c r="AC20" s="1023"/>
      <c r="AD20" s="1023"/>
    </row>
    <row r="21" spans="1:33" s="1024" customFormat="1">
      <c r="A21" s="1146" t="s">
        <v>1074</v>
      </c>
      <c r="B21" s="1146"/>
      <c r="C21" s="1146"/>
      <c r="D21" s="1146"/>
      <c r="E21" s="1146"/>
      <c r="F21" s="1146"/>
      <c r="G21" s="1146"/>
      <c r="H21" s="1146"/>
      <c r="I21" s="1146"/>
      <c r="J21" s="1022"/>
      <c r="K21" s="1022"/>
      <c r="L21" s="1022"/>
      <c r="M21" s="1022"/>
      <c r="N21" s="1022"/>
      <c r="O21" s="1022"/>
      <c r="P21" s="1022"/>
      <c r="Q21" s="1022"/>
      <c r="R21" s="1022"/>
      <c r="S21" s="1022"/>
      <c r="T21" s="1022"/>
      <c r="U21" s="1022"/>
      <c r="V21" s="1022"/>
      <c r="W21" s="1022"/>
      <c r="X21" s="1022"/>
      <c r="Y21" s="1022"/>
      <c r="Z21" s="1022"/>
      <c r="AA21" s="1022"/>
      <c r="AB21" s="1023"/>
      <c r="AC21" s="1023"/>
      <c r="AD21" s="1023"/>
    </row>
    <row r="22" spans="1:33" s="1024" customFormat="1">
      <c r="A22" s="929" t="s">
        <v>983</v>
      </c>
      <c r="B22" s="930"/>
      <c r="C22" s="930"/>
      <c r="D22" s="930"/>
      <c r="E22" s="930"/>
      <c r="F22" s="930"/>
      <c r="G22" s="930"/>
      <c r="H22" s="930"/>
      <c r="I22" s="930"/>
      <c r="J22" s="1022"/>
      <c r="K22" s="1022"/>
      <c r="L22" s="1022"/>
      <c r="M22" s="1022"/>
      <c r="N22" s="1022"/>
      <c r="O22" s="1022"/>
      <c r="P22" s="1022"/>
      <c r="Q22" s="1022"/>
      <c r="R22" s="1022"/>
      <c r="S22" s="1022"/>
      <c r="T22" s="1022"/>
      <c r="U22" s="1022"/>
      <c r="V22" s="1022"/>
      <c r="W22" s="1022"/>
      <c r="X22" s="1022"/>
      <c r="Y22" s="1022"/>
      <c r="Z22" s="1022"/>
      <c r="AA22" s="1022"/>
      <c r="AB22" s="1023"/>
      <c r="AC22" s="1023"/>
      <c r="AD22" s="1023"/>
    </row>
    <row r="23" spans="1:33" s="1024" customFormat="1">
      <c r="A23" s="929"/>
      <c r="B23" s="930"/>
      <c r="C23" s="930"/>
      <c r="D23" s="930"/>
      <c r="E23" s="930"/>
      <c r="F23" s="930"/>
      <c r="G23" s="930"/>
      <c r="H23" s="930"/>
      <c r="I23" s="930"/>
      <c r="J23" s="1022"/>
      <c r="K23" s="1022"/>
      <c r="L23" s="1022"/>
      <c r="M23" s="1022"/>
      <c r="N23" s="1022"/>
      <c r="O23" s="1022"/>
      <c r="P23" s="1022"/>
      <c r="Q23" s="1022"/>
      <c r="R23" s="1022"/>
      <c r="S23" s="1022"/>
      <c r="T23" s="1022"/>
      <c r="U23" s="1022"/>
      <c r="V23" s="1022"/>
      <c r="W23" s="1022"/>
      <c r="X23" s="1022"/>
      <c r="Y23" s="1022"/>
      <c r="Z23" s="1022"/>
      <c r="AA23" s="1022"/>
      <c r="AB23" s="1023"/>
      <c r="AC23" s="1023"/>
      <c r="AD23" s="1023"/>
    </row>
    <row r="24" spans="1:33" s="1024" customFormat="1" hidden="1">
      <c r="A24" s="1026" t="s">
        <v>1053</v>
      </c>
      <c r="B24" s="1027"/>
      <c r="C24" s="1027"/>
      <c r="D24" s="1027"/>
      <c r="E24" s="1027"/>
      <c r="F24" s="1027"/>
      <c r="G24" s="1027">
        <v>1</v>
      </c>
      <c r="H24" s="930"/>
      <c r="I24" s="930"/>
      <c r="J24" s="1022"/>
      <c r="K24" s="1022"/>
      <c r="L24" s="1022"/>
      <c r="M24" s="1022"/>
      <c r="N24" s="1022"/>
      <c r="O24" s="1022"/>
      <c r="P24" s="1022"/>
      <c r="Q24" s="1022"/>
      <c r="R24" s="1022"/>
      <c r="S24" s="1022"/>
      <c r="T24" s="1022"/>
      <c r="U24" s="1022"/>
      <c r="V24" s="1022"/>
      <c r="W24" s="1022"/>
      <c r="X24" s="1022"/>
      <c r="Y24" s="1022"/>
      <c r="Z24" s="1022"/>
      <c r="AA24" s="1022"/>
      <c r="AB24" s="1023"/>
      <c r="AC24" s="1023"/>
      <c r="AD24" s="1023"/>
    </row>
    <row r="25" spans="1:33" s="1024" customFormat="1" ht="15.75" thickBot="1">
      <c r="A25" s="927"/>
      <c r="B25" s="927"/>
      <c r="C25" s="927"/>
      <c r="D25" s="927"/>
      <c r="E25" s="928"/>
      <c r="F25" s="928"/>
      <c r="G25" s="927"/>
      <c r="H25" s="927"/>
      <c r="I25" s="928"/>
      <c r="J25" s="927"/>
      <c r="K25" s="927"/>
      <c r="L25" s="927"/>
      <c r="M25" s="927"/>
      <c r="N25" s="927"/>
      <c r="O25" s="927"/>
      <c r="P25" s="927"/>
      <c r="Q25" s="927"/>
      <c r="R25" s="927"/>
      <c r="S25" s="927"/>
      <c r="T25" s="927"/>
      <c r="U25" s="927"/>
      <c r="V25" s="927"/>
      <c r="W25" s="927"/>
      <c r="X25" s="927"/>
      <c r="Y25" s="927"/>
      <c r="Z25" s="927"/>
      <c r="AA25" s="927"/>
      <c r="AB25" s="1028"/>
      <c r="AC25" s="1028"/>
      <c r="AD25" s="1028"/>
      <c r="AE25" s="1028"/>
      <c r="AF25" s="1028"/>
      <c r="AG25" s="1028"/>
    </row>
    <row r="26" spans="1:33" s="1024" customFormat="1" ht="15.75" thickBot="1">
      <c r="A26" s="1147" t="s">
        <v>984</v>
      </c>
      <c r="B26" s="1150" t="s">
        <v>243</v>
      </c>
      <c r="C26" s="1153" t="s">
        <v>97</v>
      </c>
      <c r="D26" s="1154"/>
      <c r="E26" s="1153" t="s">
        <v>985</v>
      </c>
      <c r="F26" s="1154"/>
      <c r="G26" s="1157" t="s">
        <v>812</v>
      </c>
      <c r="H26" s="1160" t="s">
        <v>986</v>
      </c>
      <c r="I26" s="1161"/>
      <c r="J26" s="1134" t="s">
        <v>1054</v>
      </c>
      <c r="K26" s="1135"/>
      <c r="L26" s="1135"/>
      <c r="M26" s="1135"/>
      <c r="N26" s="1135"/>
      <c r="O26" s="1136"/>
      <c r="P26" s="1137" t="s">
        <v>1055</v>
      </c>
      <c r="Q26" s="1138"/>
      <c r="R26" s="1138"/>
      <c r="S26" s="1138"/>
      <c r="T26" s="1138"/>
      <c r="U26" s="1138"/>
      <c r="V26" s="1138"/>
      <c r="W26" s="1138"/>
      <c r="X26" s="1139"/>
      <c r="Y26" s="1137" t="s">
        <v>1056</v>
      </c>
      <c r="Z26" s="1138"/>
      <c r="AA26" s="1139"/>
      <c r="AB26" s="1028"/>
      <c r="AC26" s="1028"/>
      <c r="AD26" s="1028"/>
      <c r="AE26" s="1028"/>
      <c r="AF26" s="1028"/>
      <c r="AG26" s="1028"/>
    </row>
    <row r="27" spans="1:33" s="1024" customFormat="1" ht="15.75" thickBot="1">
      <c r="A27" s="1148"/>
      <c r="B27" s="1151"/>
      <c r="C27" s="1155"/>
      <c r="D27" s="1156"/>
      <c r="E27" s="1155"/>
      <c r="F27" s="1156"/>
      <c r="G27" s="1158"/>
      <c r="H27" s="931">
        <v>183</v>
      </c>
      <c r="I27" s="932">
        <v>182</v>
      </c>
      <c r="J27" s="1140" t="s">
        <v>1057</v>
      </c>
      <c r="K27" s="1029">
        <v>31</v>
      </c>
      <c r="L27" s="1029">
        <v>31</v>
      </c>
      <c r="M27" s="1029">
        <v>28</v>
      </c>
      <c r="N27" s="1142" t="s">
        <v>813</v>
      </c>
      <c r="O27" s="1029">
        <v>25</v>
      </c>
      <c r="P27" s="1030">
        <v>6</v>
      </c>
      <c r="Q27" s="1030">
        <v>30</v>
      </c>
      <c r="R27" s="1030">
        <v>31</v>
      </c>
      <c r="S27" s="1142" t="s">
        <v>814</v>
      </c>
      <c r="T27" s="1030">
        <v>30</v>
      </c>
      <c r="U27" s="1030">
        <v>31</v>
      </c>
      <c r="V27" s="1030">
        <v>31</v>
      </c>
      <c r="W27" s="1144" t="s">
        <v>815</v>
      </c>
      <c r="X27" s="1030">
        <v>24</v>
      </c>
      <c r="Y27" s="1030">
        <v>6</v>
      </c>
      <c r="Z27" s="1030">
        <v>31</v>
      </c>
      <c r="AA27" s="1030">
        <v>30</v>
      </c>
      <c r="AB27" s="1028"/>
      <c r="AC27" s="1028"/>
      <c r="AD27" s="1028"/>
      <c r="AE27" s="1028"/>
      <c r="AF27" s="1028"/>
      <c r="AG27" s="1028"/>
    </row>
    <row r="28" spans="1:33" s="1024" customFormat="1" ht="35.25" thickBot="1">
      <c r="A28" s="1149"/>
      <c r="B28" s="1152"/>
      <c r="C28" s="932" t="s">
        <v>987</v>
      </c>
      <c r="D28" s="932" t="s">
        <v>988</v>
      </c>
      <c r="E28" s="932" t="s">
        <v>987</v>
      </c>
      <c r="F28" s="932" t="s">
        <v>988</v>
      </c>
      <c r="G28" s="1159"/>
      <c r="H28" s="932" t="s">
        <v>987</v>
      </c>
      <c r="I28" s="932" t="s">
        <v>988</v>
      </c>
      <c r="J28" s="1141"/>
      <c r="K28" s="1037" t="s">
        <v>1075</v>
      </c>
      <c r="L28" s="1037" t="s">
        <v>1076</v>
      </c>
      <c r="M28" s="1037" t="s">
        <v>1077</v>
      </c>
      <c r="N28" s="1143"/>
      <c r="O28" s="1037" t="s">
        <v>1061</v>
      </c>
      <c r="P28" s="1038" t="s">
        <v>1078</v>
      </c>
      <c r="Q28" s="1038" t="s">
        <v>1079</v>
      </c>
      <c r="R28" s="1038" t="s">
        <v>1080</v>
      </c>
      <c r="S28" s="1143"/>
      <c r="T28" s="1038" t="s">
        <v>1081</v>
      </c>
      <c r="U28" s="1038" t="s">
        <v>1082</v>
      </c>
      <c r="V28" s="1038" t="s">
        <v>1083</v>
      </c>
      <c r="W28" s="1145"/>
      <c r="X28" s="1038" t="s">
        <v>1084</v>
      </c>
      <c r="Y28" s="1038" t="s">
        <v>1085</v>
      </c>
      <c r="Z28" s="1038" t="s">
        <v>1086</v>
      </c>
      <c r="AA28" s="1069" t="s">
        <v>1087</v>
      </c>
      <c r="AB28" s="1028"/>
      <c r="AC28" s="1028"/>
      <c r="AD28" s="1028"/>
      <c r="AE28" s="1028"/>
      <c r="AF28" s="1028"/>
      <c r="AG28" s="1028"/>
    </row>
    <row r="29" spans="1:33" s="1048" customFormat="1" ht="48" hidden="1">
      <c r="A29" s="933" t="s">
        <v>989</v>
      </c>
      <c r="B29" s="933"/>
      <c r="C29" s="933"/>
      <c r="D29" s="933"/>
      <c r="E29" s="934"/>
      <c r="F29" s="934"/>
      <c r="G29" s="935">
        <f>H29+I29</f>
        <v>0</v>
      </c>
      <c r="H29" s="935">
        <f>'[1]Аукцион '!L179</f>
        <v>0</v>
      </c>
      <c r="I29" s="935">
        <f>'[1]Аукцион '!K179</f>
        <v>0</v>
      </c>
      <c r="J29" s="1045"/>
      <c r="K29" s="1045"/>
      <c r="L29" s="1045"/>
      <c r="M29" s="1045"/>
      <c r="N29" s="1045"/>
      <c r="O29" s="1045"/>
      <c r="P29" s="1045"/>
      <c r="Q29" s="1045"/>
      <c r="R29" s="1045"/>
      <c r="S29" s="1045"/>
      <c r="T29" s="1045"/>
      <c r="U29" s="1045"/>
      <c r="V29" s="1045"/>
      <c r="W29" s="1045"/>
      <c r="X29" s="1045"/>
      <c r="Y29" s="1045"/>
      <c r="Z29" s="1045"/>
      <c r="AA29" s="1045"/>
      <c r="AB29" s="1046"/>
      <c r="AC29" s="1047"/>
      <c r="AD29" s="1046">
        <f t="shared" ref="AD29:AD40" si="1">AB29-G29</f>
        <v>0</v>
      </c>
      <c r="AE29" s="1047"/>
      <c r="AF29" s="1047"/>
      <c r="AG29" s="1047"/>
    </row>
    <row r="30" spans="1:33" s="1024" customFormat="1" hidden="1">
      <c r="A30" s="936" t="s">
        <v>990</v>
      </c>
      <c r="B30" s="937" t="s">
        <v>470</v>
      </c>
      <c r="C30" s="938">
        <f>'[1]Аукцион '!F179</f>
        <v>0</v>
      </c>
      <c r="D30" s="938"/>
      <c r="E30" s="939" t="e">
        <f>H30/C30</f>
        <v>#DIV/0!</v>
      </c>
      <c r="F30" s="938"/>
      <c r="G30" s="940">
        <f>H30+I30</f>
        <v>0</v>
      </c>
      <c r="H30" s="940">
        <f>'[1]Аукцион '!G179</f>
        <v>0</v>
      </c>
      <c r="I30" s="940">
        <v>0</v>
      </c>
      <c r="J30" s="1049"/>
      <c r="K30" s="1050"/>
      <c r="L30" s="1050"/>
      <c r="M30" s="1050"/>
      <c r="N30" s="1045"/>
      <c r="O30" s="1050"/>
      <c r="P30" s="1050"/>
      <c r="Q30" s="1050"/>
      <c r="R30" s="1050"/>
      <c r="S30" s="1049"/>
      <c r="T30" s="1050"/>
      <c r="U30" s="1050"/>
      <c r="V30" s="1050"/>
      <c r="W30" s="1049"/>
      <c r="X30" s="1050"/>
      <c r="Y30" s="1050"/>
      <c r="Z30" s="1050"/>
      <c r="AA30" s="1050"/>
      <c r="AB30" s="1046"/>
      <c r="AC30" s="1028"/>
      <c r="AD30" s="1046">
        <f t="shared" si="1"/>
        <v>0</v>
      </c>
      <c r="AE30" s="1028"/>
      <c r="AF30" s="1028"/>
      <c r="AG30" s="1028"/>
    </row>
    <row r="31" spans="1:33" s="1024" customFormat="1" ht="24" hidden="1">
      <c r="A31" s="936" t="s">
        <v>991</v>
      </c>
      <c r="B31" s="937" t="s">
        <v>470</v>
      </c>
      <c r="C31" s="938">
        <f>'[1]Аукцион '!Q179+'[1]Аукцион '!S179</f>
        <v>0</v>
      </c>
      <c r="D31" s="938">
        <f>'[1]Аукцион '!M179+'[1]Аукцион '!O179</f>
        <v>0</v>
      </c>
      <c r="E31" s="939" t="e">
        <f>H31/C31</f>
        <v>#DIV/0!</v>
      </c>
      <c r="F31" s="938" t="e">
        <f>I31/D31</f>
        <v>#DIV/0!</v>
      </c>
      <c r="G31" s="940">
        <f>H31+I31</f>
        <v>0</v>
      </c>
      <c r="H31" s="940">
        <f>'[1]Аукцион '!R179+'[1]Аукцион '!T179</f>
        <v>0</v>
      </c>
      <c r="I31" s="940">
        <f>'[1]Аукцион '!N179+'[1]Аукцион '!P179+'[1]Аукцион '!I179</f>
        <v>0</v>
      </c>
      <c r="J31" s="1049"/>
      <c r="K31" s="1050"/>
      <c r="L31" s="1050"/>
      <c r="M31" s="1050"/>
      <c r="N31" s="1045"/>
      <c r="O31" s="1050"/>
      <c r="P31" s="1050"/>
      <c r="Q31" s="1050"/>
      <c r="R31" s="1050"/>
      <c r="S31" s="1049"/>
      <c r="T31" s="1050"/>
      <c r="U31" s="1050"/>
      <c r="V31" s="1050"/>
      <c r="W31" s="1049"/>
      <c r="X31" s="1050"/>
      <c r="Y31" s="1050"/>
      <c r="Z31" s="1050"/>
      <c r="AA31" s="1050"/>
      <c r="AB31" s="1046"/>
      <c r="AC31" s="1051"/>
      <c r="AD31" s="1046">
        <f t="shared" si="1"/>
        <v>0</v>
      </c>
      <c r="AE31" s="1028"/>
      <c r="AF31" s="1028"/>
      <c r="AG31" s="1028"/>
    </row>
    <row r="32" spans="1:33" s="1024" customFormat="1" hidden="1">
      <c r="A32" s="936" t="s">
        <v>992</v>
      </c>
      <c r="B32" s="937" t="s">
        <v>25</v>
      </c>
      <c r="C32" s="938">
        <f>'[1]Аукцион '!U179</f>
        <v>0</v>
      </c>
      <c r="D32" s="938">
        <f>'[1]Аукцион '!X179</f>
        <v>0</v>
      </c>
      <c r="E32" s="939" t="e">
        <f>H32/C32</f>
        <v>#DIV/0!</v>
      </c>
      <c r="F32" s="938" t="e">
        <f>I32/D32</f>
        <v>#DIV/0!</v>
      </c>
      <c r="G32" s="940">
        <f>H32+I32</f>
        <v>0</v>
      </c>
      <c r="H32" s="940">
        <f>'[1]Аукцион '!V179+'[1]Аукцион '!W179</f>
        <v>0</v>
      </c>
      <c r="I32" s="940">
        <f>'[1]Аукцион '!Y179</f>
        <v>0</v>
      </c>
      <c r="J32" s="1049"/>
      <c r="K32" s="1050"/>
      <c r="L32" s="1050"/>
      <c r="M32" s="1050"/>
      <c r="N32" s="1045"/>
      <c r="O32" s="1050"/>
      <c r="P32" s="1050"/>
      <c r="Q32" s="1050"/>
      <c r="R32" s="1050"/>
      <c r="S32" s="1049"/>
      <c r="T32" s="1050"/>
      <c r="U32" s="1050"/>
      <c r="V32" s="1050"/>
      <c r="W32" s="1049"/>
      <c r="X32" s="1050"/>
      <c r="Y32" s="1050"/>
      <c r="Z32" s="1050"/>
      <c r="AA32" s="1050"/>
      <c r="AB32" s="1046"/>
      <c r="AC32" s="1051"/>
      <c r="AD32" s="1046">
        <f t="shared" si="1"/>
        <v>0</v>
      </c>
      <c r="AE32" s="1028"/>
      <c r="AF32" s="1028"/>
      <c r="AG32" s="1028"/>
    </row>
    <row r="33" spans="1:33" s="1024" customFormat="1" hidden="1">
      <c r="A33" s="936" t="s">
        <v>993</v>
      </c>
      <c r="B33" s="937" t="s">
        <v>25</v>
      </c>
      <c r="C33" s="938">
        <f>'[1]Аукцион '!Z179</f>
        <v>0</v>
      </c>
      <c r="D33" s="938">
        <f>'[1]Аукцион '!AB179</f>
        <v>0</v>
      </c>
      <c r="E33" s="939" t="e">
        <f>H33/C33</f>
        <v>#DIV/0!</v>
      </c>
      <c r="F33" s="938" t="e">
        <f>I33/D33</f>
        <v>#DIV/0!</v>
      </c>
      <c r="G33" s="940">
        <f>H33+I33</f>
        <v>0</v>
      </c>
      <c r="H33" s="940">
        <f>'[1]Аукцион '!AA179</f>
        <v>0</v>
      </c>
      <c r="I33" s="940">
        <f>'[1]Аукцион '!AC179</f>
        <v>0</v>
      </c>
      <c r="J33" s="1049"/>
      <c r="K33" s="1050"/>
      <c r="L33" s="1050"/>
      <c r="M33" s="1050"/>
      <c r="N33" s="1045"/>
      <c r="O33" s="1050"/>
      <c r="P33" s="1050"/>
      <c r="Q33" s="1050"/>
      <c r="R33" s="1050"/>
      <c r="S33" s="1049"/>
      <c r="T33" s="1050"/>
      <c r="U33" s="1050"/>
      <c r="V33" s="1050"/>
      <c r="W33" s="1049"/>
      <c r="X33" s="1050"/>
      <c r="Y33" s="1050"/>
      <c r="Z33" s="1050"/>
      <c r="AA33" s="1050"/>
      <c r="AB33" s="1046"/>
      <c r="AC33" s="1051"/>
      <c r="AD33" s="1046">
        <f t="shared" si="1"/>
        <v>0</v>
      </c>
      <c r="AE33" s="1028"/>
      <c r="AF33" s="1028"/>
      <c r="AG33" s="1028"/>
    </row>
    <row r="34" spans="1:33" s="1024" customFormat="1" hidden="1">
      <c r="A34" s="936" t="s">
        <v>994</v>
      </c>
      <c r="B34" s="937"/>
      <c r="C34" s="937"/>
      <c r="D34" s="937"/>
      <c r="E34" s="939"/>
      <c r="F34" s="938"/>
      <c r="G34" s="940"/>
      <c r="H34" s="940"/>
      <c r="I34" s="940"/>
      <c r="J34" s="1049"/>
      <c r="K34" s="1050"/>
      <c r="L34" s="1050"/>
      <c r="M34" s="1050"/>
      <c r="N34" s="1045"/>
      <c r="O34" s="1050"/>
      <c r="P34" s="1050"/>
      <c r="Q34" s="1050"/>
      <c r="R34" s="1050"/>
      <c r="S34" s="1049"/>
      <c r="T34" s="1050"/>
      <c r="U34" s="1050"/>
      <c r="V34" s="1050"/>
      <c r="W34" s="1049"/>
      <c r="X34" s="1050"/>
      <c r="Y34" s="1050"/>
      <c r="Z34" s="1050"/>
      <c r="AA34" s="1050"/>
      <c r="AB34" s="1046"/>
      <c r="AC34" s="1028"/>
      <c r="AD34" s="1046">
        <f t="shared" si="1"/>
        <v>0</v>
      </c>
      <c r="AE34" s="1028"/>
      <c r="AF34" s="1028"/>
      <c r="AG34" s="1028"/>
    </row>
    <row r="35" spans="1:33" s="1024" customFormat="1" hidden="1">
      <c r="A35" s="936" t="s">
        <v>995</v>
      </c>
      <c r="B35" s="937" t="s">
        <v>470</v>
      </c>
      <c r="C35" s="938">
        <f>'[1]Аукцион '!AD179</f>
        <v>0</v>
      </c>
      <c r="D35" s="937"/>
      <c r="E35" s="939" t="e">
        <f>H35/C35</f>
        <v>#DIV/0!</v>
      </c>
      <c r="F35" s="938"/>
      <c r="G35" s="940">
        <f>H35+I35</f>
        <v>0</v>
      </c>
      <c r="H35" s="940">
        <f>'[1]Аукцион '!AE179+'[1]Аукцион '!AK179</f>
        <v>0</v>
      </c>
      <c r="I35" s="940">
        <v>0</v>
      </c>
      <c r="J35" s="1049"/>
      <c r="K35" s="1050"/>
      <c r="L35" s="1050"/>
      <c r="M35" s="1050"/>
      <c r="N35" s="1045"/>
      <c r="O35" s="1050"/>
      <c r="P35" s="1050"/>
      <c r="Q35" s="1050"/>
      <c r="R35" s="1050"/>
      <c r="S35" s="1049"/>
      <c r="T35" s="1050"/>
      <c r="U35" s="1050"/>
      <c r="V35" s="1050"/>
      <c r="W35" s="1049"/>
      <c r="X35" s="1050"/>
      <c r="Y35" s="1050"/>
      <c r="Z35" s="1050"/>
      <c r="AA35" s="1050"/>
      <c r="AB35" s="1046"/>
      <c r="AC35" s="1028"/>
      <c r="AD35" s="1046">
        <f t="shared" si="1"/>
        <v>0</v>
      </c>
      <c r="AE35" s="1028"/>
      <c r="AF35" s="1028"/>
      <c r="AG35" s="1028"/>
    </row>
    <row r="36" spans="1:33" s="1024" customFormat="1" hidden="1">
      <c r="A36" s="936" t="s">
        <v>996</v>
      </c>
      <c r="B36" s="937" t="s">
        <v>470</v>
      </c>
      <c r="C36" s="938">
        <f>'[1]Аукцион '!AL179</f>
        <v>0</v>
      </c>
      <c r="D36" s="937"/>
      <c r="E36" s="939" t="e">
        <f>H36/C36</f>
        <v>#DIV/0!</v>
      </c>
      <c r="F36" s="938"/>
      <c r="G36" s="940">
        <f>H36+I36</f>
        <v>0</v>
      </c>
      <c r="H36" s="940">
        <f>'[1]Аукцион '!AM179</f>
        <v>0</v>
      </c>
      <c r="I36" s="940">
        <v>0</v>
      </c>
      <c r="J36" s="1049"/>
      <c r="K36" s="1050"/>
      <c r="L36" s="1050"/>
      <c r="M36" s="1050"/>
      <c r="N36" s="1045"/>
      <c r="O36" s="1050"/>
      <c r="P36" s="1050"/>
      <c r="Q36" s="1050"/>
      <c r="R36" s="1050"/>
      <c r="S36" s="1049"/>
      <c r="T36" s="1050"/>
      <c r="U36" s="1050"/>
      <c r="V36" s="1050"/>
      <c r="W36" s="1049"/>
      <c r="X36" s="1050"/>
      <c r="Y36" s="1050"/>
      <c r="Z36" s="1050"/>
      <c r="AA36" s="1050"/>
      <c r="AB36" s="1046"/>
      <c r="AC36" s="1028"/>
      <c r="AD36" s="1046">
        <f t="shared" si="1"/>
        <v>0</v>
      </c>
      <c r="AE36" s="1028"/>
      <c r="AF36" s="1028"/>
      <c r="AG36" s="1028"/>
    </row>
    <row r="37" spans="1:33" s="1024" customFormat="1" ht="36" hidden="1">
      <c r="A37" s="936" t="s">
        <v>997</v>
      </c>
      <c r="B37" s="937" t="s">
        <v>25</v>
      </c>
      <c r="C37" s="938">
        <v>3</v>
      </c>
      <c r="D37" s="937"/>
      <c r="E37" s="939">
        <f>H37/C37</f>
        <v>0</v>
      </c>
      <c r="F37" s="938"/>
      <c r="G37" s="940">
        <f>H37+I37</f>
        <v>0</v>
      </c>
      <c r="H37" s="940">
        <f>'[1]Аукцион '!AY179+'[1]Аукцион '!BA179+'[1]Аукцион '!BE179+'[1]Аукцион '!BG179</f>
        <v>0</v>
      </c>
      <c r="I37" s="940">
        <v>0</v>
      </c>
      <c r="J37" s="1049"/>
      <c r="K37" s="1050"/>
      <c r="L37" s="1050"/>
      <c r="M37" s="1050"/>
      <c r="N37" s="1045"/>
      <c r="O37" s="1050"/>
      <c r="P37" s="1050"/>
      <c r="Q37" s="1050"/>
      <c r="R37" s="1050"/>
      <c r="S37" s="1049"/>
      <c r="T37" s="1050"/>
      <c r="U37" s="1050"/>
      <c r="V37" s="1050"/>
      <c r="W37" s="1049"/>
      <c r="X37" s="1050"/>
      <c r="Y37" s="1050"/>
      <c r="Z37" s="1050"/>
      <c r="AA37" s="1050"/>
      <c r="AB37" s="1046"/>
      <c r="AC37" s="1028"/>
      <c r="AD37" s="1046">
        <f t="shared" si="1"/>
        <v>0</v>
      </c>
      <c r="AE37" s="1028"/>
      <c r="AF37" s="1028"/>
      <c r="AG37" s="1028"/>
    </row>
    <row r="38" spans="1:33" s="1024" customFormat="1" ht="24" hidden="1">
      <c r="A38" s="936" t="s">
        <v>998</v>
      </c>
      <c r="B38" s="937" t="s">
        <v>999</v>
      </c>
      <c r="C38" s="938">
        <f>'[1]Аукцион '!AR179</f>
        <v>0</v>
      </c>
      <c r="D38" s="937"/>
      <c r="E38" s="939" t="e">
        <f>H38/C38</f>
        <v>#DIV/0!</v>
      </c>
      <c r="F38" s="938"/>
      <c r="G38" s="940">
        <f>H38+I38</f>
        <v>0</v>
      </c>
      <c r="H38" s="940">
        <f>'[1]Аукцион '!AS179</f>
        <v>0</v>
      </c>
      <c r="I38" s="940">
        <v>0</v>
      </c>
      <c r="J38" s="1049"/>
      <c r="K38" s="1050"/>
      <c r="L38" s="1050"/>
      <c r="M38" s="1050"/>
      <c r="N38" s="1045"/>
      <c r="O38" s="1050"/>
      <c r="P38" s="1050"/>
      <c r="Q38" s="1050"/>
      <c r="R38" s="1050"/>
      <c r="S38" s="1049"/>
      <c r="T38" s="1050"/>
      <c r="U38" s="1050"/>
      <c r="V38" s="1050"/>
      <c r="W38" s="1049"/>
      <c r="X38" s="1050"/>
      <c r="Y38" s="1050"/>
      <c r="Z38" s="1050"/>
      <c r="AA38" s="1050"/>
      <c r="AB38" s="1046"/>
      <c r="AC38" s="1028"/>
      <c r="AD38" s="1046">
        <f t="shared" si="1"/>
        <v>0</v>
      </c>
      <c r="AE38" s="1028"/>
      <c r="AF38" s="1028"/>
      <c r="AG38" s="1028"/>
    </row>
    <row r="39" spans="1:33" s="1024" customFormat="1" hidden="1">
      <c r="A39" s="936" t="s">
        <v>1000</v>
      </c>
      <c r="B39" s="937" t="s">
        <v>470</v>
      </c>
      <c r="C39" s="938"/>
      <c r="D39" s="938">
        <f>'[1]Аукцион '!AT179</f>
        <v>0</v>
      </c>
      <c r="E39" s="939"/>
      <c r="F39" s="938" t="e">
        <f>I39/D39</f>
        <v>#DIV/0!</v>
      </c>
      <c r="G39" s="940">
        <f>H39+I39</f>
        <v>0</v>
      </c>
      <c r="H39" s="940"/>
      <c r="I39" s="940">
        <f>'[1]Аукцион '!AU179</f>
        <v>0</v>
      </c>
      <c r="J39" s="1049"/>
      <c r="K39" s="1050"/>
      <c r="L39" s="1050"/>
      <c r="M39" s="1050"/>
      <c r="N39" s="1045"/>
      <c r="O39" s="1050"/>
      <c r="P39" s="1050"/>
      <c r="Q39" s="1050"/>
      <c r="R39" s="1050"/>
      <c r="S39" s="1049"/>
      <c r="T39" s="1050"/>
      <c r="U39" s="1050"/>
      <c r="V39" s="1050"/>
      <c r="W39" s="1049"/>
      <c r="X39" s="1050"/>
      <c r="Y39" s="1050"/>
      <c r="Z39" s="1050"/>
      <c r="AA39" s="1050"/>
      <c r="AB39" s="1046"/>
      <c r="AC39" s="1051"/>
      <c r="AD39" s="1046">
        <f t="shared" si="1"/>
        <v>0</v>
      </c>
      <c r="AE39" s="1028"/>
      <c r="AF39" s="1028"/>
      <c r="AG39" s="1028"/>
    </row>
    <row r="40" spans="1:33" s="1023" customFormat="1" hidden="1">
      <c r="A40" s="936" t="s">
        <v>1001</v>
      </c>
      <c r="B40" s="937" t="s">
        <v>1002</v>
      </c>
      <c r="C40" s="937">
        <v>19</v>
      </c>
      <c r="D40" s="937"/>
      <c r="E40" s="939">
        <f>H40/C40</f>
        <v>0</v>
      </c>
      <c r="F40" s="938"/>
      <c r="G40" s="940"/>
      <c r="H40" s="940">
        <f>'[1]Аукцион '!AW179</f>
        <v>0</v>
      </c>
      <c r="I40" s="941"/>
      <c r="J40" s="1049"/>
      <c r="K40" s="1049"/>
      <c r="L40" s="1049"/>
      <c r="M40" s="1049"/>
      <c r="N40" s="1045"/>
      <c r="O40" s="1049"/>
      <c r="P40" s="1049"/>
      <c r="Q40" s="1049"/>
      <c r="R40" s="1049"/>
      <c r="S40" s="1049"/>
      <c r="T40" s="1049"/>
      <c r="U40" s="1049"/>
      <c r="V40" s="1049"/>
      <c r="W40" s="1049"/>
      <c r="X40" s="1049"/>
      <c r="Y40" s="1049"/>
      <c r="Z40" s="1049"/>
      <c r="AA40" s="1049"/>
      <c r="AB40" s="1046"/>
      <c r="AC40" s="1028"/>
      <c r="AD40" s="1046">
        <f t="shared" si="1"/>
        <v>0</v>
      </c>
      <c r="AE40" s="1028"/>
      <c r="AF40" s="1028"/>
      <c r="AG40" s="1028"/>
    </row>
    <row r="41" spans="1:33" s="1023" customFormat="1" ht="24" hidden="1">
      <c r="A41" s="936" t="s">
        <v>1003</v>
      </c>
      <c r="B41" s="937" t="s">
        <v>1002</v>
      </c>
      <c r="C41" s="937">
        <v>14</v>
      </c>
      <c r="D41" s="937"/>
      <c r="E41" s="939">
        <f>H41/C41</f>
        <v>0</v>
      </c>
      <c r="F41" s="938"/>
      <c r="G41" s="940"/>
      <c r="H41" s="940">
        <f>'[1]Аукцион '!AO179</f>
        <v>0</v>
      </c>
      <c r="I41" s="941"/>
      <c r="J41" s="1049"/>
      <c r="K41" s="1049"/>
      <c r="L41" s="1049"/>
      <c r="M41" s="1049"/>
      <c r="N41" s="1045"/>
      <c r="O41" s="1049"/>
      <c r="P41" s="1049"/>
      <c r="Q41" s="1049"/>
      <c r="R41" s="1049"/>
      <c r="S41" s="1049"/>
      <c r="T41" s="1049"/>
      <c r="U41" s="1049"/>
      <c r="V41" s="1049"/>
      <c r="W41" s="1049"/>
      <c r="X41" s="1049"/>
      <c r="Y41" s="1049"/>
      <c r="Z41" s="1049"/>
      <c r="AA41" s="1049"/>
      <c r="AB41" s="1046"/>
      <c r="AC41" s="1028"/>
      <c r="AD41" s="1046"/>
      <c r="AE41" s="1028"/>
      <c r="AF41" s="1028"/>
      <c r="AG41" s="1028"/>
    </row>
    <row r="42" spans="1:33" s="1023" customFormat="1" hidden="1">
      <c r="A42" s="937"/>
      <c r="B42" s="937"/>
      <c r="C42" s="937"/>
      <c r="D42" s="937"/>
      <c r="E42" s="939"/>
      <c r="F42" s="938"/>
      <c r="G42" s="940"/>
      <c r="H42" s="941"/>
      <c r="I42" s="941"/>
      <c r="J42" s="1049"/>
      <c r="K42" s="1049"/>
      <c r="L42" s="1049"/>
      <c r="M42" s="1049"/>
      <c r="N42" s="1045"/>
      <c r="O42" s="1049"/>
      <c r="P42" s="1049"/>
      <c r="Q42" s="1049"/>
      <c r="R42" s="1049"/>
      <c r="S42" s="1049"/>
      <c r="T42" s="1049"/>
      <c r="U42" s="1049"/>
      <c r="V42" s="1049"/>
      <c r="W42" s="1049"/>
      <c r="X42" s="1049"/>
      <c r="Y42" s="1049"/>
      <c r="Z42" s="1049"/>
      <c r="AA42" s="1049"/>
      <c r="AB42" s="1046"/>
      <c r="AC42" s="1028"/>
      <c r="AD42" s="1046"/>
      <c r="AE42" s="1028"/>
      <c r="AF42" s="1028"/>
      <c r="AG42" s="1028"/>
    </row>
    <row r="43" spans="1:33" s="1047" customFormat="1" ht="24" hidden="1">
      <c r="A43" s="942" t="s">
        <v>1004</v>
      </c>
      <c r="B43" s="942"/>
      <c r="C43" s="942"/>
      <c r="D43" s="942"/>
      <c r="E43" s="943"/>
      <c r="F43" s="944"/>
      <c r="G43" s="945">
        <f>H43+I43</f>
        <v>0</v>
      </c>
      <c r="H43" s="945">
        <f>H44+H45+H46+H47+H49+H50+H51+H52</f>
        <v>0</v>
      </c>
      <c r="I43" s="945">
        <f>I44+I45+I46+I47+I49+I50+I51+I52</f>
        <v>0</v>
      </c>
      <c r="J43" s="1049"/>
      <c r="K43" s="1049"/>
      <c r="L43" s="1049"/>
      <c r="M43" s="1049"/>
      <c r="N43" s="1045"/>
      <c r="O43" s="1049"/>
      <c r="P43" s="1049"/>
      <c r="Q43" s="1049"/>
      <c r="R43" s="1049"/>
      <c r="S43" s="1049"/>
      <c r="T43" s="1049"/>
      <c r="U43" s="1049"/>
      <c r="V43" s="1049"/>
      <c r="W43" s="1049"/>
      <c r="X43" s="1049"/>
      <c r="Y43" s="1049"/>
      <c r="Z43" s="1049"/>
      <c r="AA43" s="1049"/>
      <c r="AB43" s="1046"/>
      <c r="AD43" s="1046">
        <f t="shared" ref="AD43:AD108" si="2">AB43-G43</f>
        <v>0</v>
      </c>
    </row>
    <row r="44" spans="1:33" s="1024" customFormat="1" hidden="1">
      <c r="A44" s="936" t="s">
        <v>990</v>
      </c>
      <c r="B44" s="937" t="s">
        <v>470</v>
      </c>
      <c r="C44" s="938">
        <f>'[1]Аукцион '!F181</f>
        <v>0</v>
      </c>
      <c r="D44" s="937"/>
      <c r="E44" s="939" t="e">
        <f>H44/C44</f>
        <v>#DIV/0!</v>
      </c>
      <c r="F44" s="938"/>
      <c r="G44" s="940">
        <f>H44+I44</f>
        <v>0</v>
      </c>
      <c r="H44" s="940">
        <f>'[1]Аукцион '!G181</f>
        <v>0</v>
      </c>
      <c r="I44" s="940">
        <v>0</v>
      </c>
      <c r="J44" s="1049"/>
      <c r="K44" s="1050"/>
      <c r="L44" s="1050"/>
      <c r="M44" s="1050"/>
      <c r="N44" s="1045"/>
      <c r="O44" s="1050"/>
      <c r="P44" s="1050"/>
      <c r="Q44" s="1050"/>
      <c r="R44" s="1050"/>
      <c r="S44" s="1049"/>
      <c r="T44" s="1050"/>
      <c r="U44" s="1050"/>
      <c r="V44" s="1050"/>
      <c r="W44" s="1049"/>
      <c r="X44" s="1050"/>
      <c r="Y44" s="1050"/>
      <c r="Z44" s="1050"/>
      <c r="AA44" s="1050"/>
      <c r="AB44" s="1046"/>
      <c r="AC44" s="1028"/>
      <c r="AD44" s="1046">
        <f t="shared" si="2"/>
        <v>0</v>
      </c>
      <c r="AE44" s="1028"/>
      <c r="AF44" s="1028"/>
      <c r="AG44" s="1028"/>
    </row>
    <row r="45" spans="1:33" s="1024" customFormat="1" ht="24" hidden="1">
      <c r="A45" s="936" t="s">
        <v>991</v>
      </c>
      <c r="B45" s="937" t="s">
        <v>470</v>
      </c>
      <c r="C45" s="938">
        <f>'[1]Аукцион '!Q181+'[1]Аукцион '!S181</f>
        <v>0</v>
      </c>
      <c r="D45" s="938">
        <f>'[1]Аукцион '!M181+'[1]Аукцион '!O181</f>
        <v>0</v>
      </c>
      <c r="E45" s="939" t="e">
        <f>H45/C45</f>
        <v>#DIV/0!</v>
      </c>
      <c r="F45" s="938" t="e">
        <f>I45/D45</f>
        <v>#DIV/0!</v>
      </c>
      <c r="G45" s="940">
        <f>H45+I45</f>
        <v>0</v>
      </c>
      <c r="H45" s="940">
        <f>'[1]Аукцион '!R181+'[1]Аукцион '!T181</f>
        <v>0</v>
      </c>
      <c r="I45" s="940">
        <f>'[1]Аукцион '!N181+'[1]Аукцион '!P181+'[1]Аукцион '!I181</f>
        <v>0</v>
      </c>
      <c r="J45" s="1049"/>
      <c r="K45" s="1050"/>
      <c r="L45" s="1050"/>
      <c r="M45" s="1050"/>
      <c r="N45" s="1045"/>
      <c r="O45" s="1050"/>
      <c r="P45" s="1050"/>
      <c r="Q45" s="1050"/>
      <c r="R45" s="1050"/>
      <c r="S45" s="1049"/>
      <c r="T45" s="1050"/>
      <c r="U45" s="1050"/>
      <c r="V45" s="1050"/>
      <c r="W45" s="1049"/>
      <c r="X45" s="1050"/>
      <c r="Y45" s="1050"/>
      <c r="Z45" s="1050"/>
      <c r="AA45" s="1050"/>
      <c r="AB45" s="1046"/>
      <c r="AC45" s="1051">
        <f>K45+L45+M45+O45+Y45+Z45+AA45</f>
        <v>0</v>
      </c>
      <c r="AD45" s="1046">
        <f t="shared" si="2"/>
        <v>0</v>
      </c>
      <c r="AE45" s="1028"/>
      <c r="AF45" s="1028"/>
      <c r="AG45" s="1028"/>
    </row>
    <row r="46" spans="1:33" s="1024" customFormat="1" hidden="1">
      <c r="A46" s="936" t="s">
        <v>992</v>
      </c>
      <c r="B46" s="937" t="s">
        <v>25</v>
      </c>
      <c r="C46" s="938">
        <f>'[1]Аукцион '!U181</f>
        <v>0</v>
      </c>
      <c r="D46" s="938">
        <f>'[1]Аукцион '!X181</f>
        <v>0</v>
      </c>
      <c r="E46" s="939" t="e">
        <f>H46/C46</f>
        <v>#DIV/0!</v>
      </c>
      <c r="F46" s="938" t="e">
        <f>I46/D46</f>
        <v>#DIV/0!</v>
      </c>
      <c r="G46" s="940">
        <f>H46+I46</f>
        <v>0</v>
      </c>
      <c r="H46" s="940">
        <f>'[1]Аукцион '!V181+'[1]Аукцион '!W181</f>
        <v>0</v>
      </c>
      <c r="I46" s="940">
        <f>'[1]Аукцион '!Y181</f>
        <v>0</v>
      </c>
      <c r="J46" s="1049"/>
      <c r="K46" s="1050"/>
      <c r="L46" s="1050"/>
      <c r="M46" s="1050"/>
      <c r="N46" s="1045"/>
      <c r="O46" s="1050"/>
      <c r="P46" s="1050"/>
      <c r="Q46" s="1050"/>
      <c r="R46" s="1050"/>
      <c r="S46" s="1049"/>
      <c r="T46" s="1050"/>
      <c r="U46" s="1050"/>
      <c r="V46" s="1050"/>
      <c r="W46" s="1049"/>
      <c r="X46" s="1050"/>
      <c r="Y46" s="1050"/>
      <c r="Z46" s="1050"/>
      <c r="AA46" s="1050"/>
      <c r="AB46" s="1046"/>
      <c r="AC46" s="1051">
        <f>K46+L46+M46+O46+Y46+Z46+AA46</f>
        <v>0</v>
      </c>
      <c r="AD46" s="1046">
        <f t="shared" si="2"/>
        <v>0</v>
      </c>
      <c r="AE46" s="1028"/>
      <c r="AF46" s="1028"/>
      <c r="AG46" s="1028"/>
    </row>
    <row r="47" spans="1:33" s="1024" customFormat="1" hidden="1">
      <c r="A47" s="936" t="s">
        <v>993</v>
      </c>
      <c r="B47" s="937" t="s">
        <v>25</v>
      </c>
      <c r="C47" s="938">
        <f>'[1]Аукцион '!Z181</f>
        <v>0</v>
      </c>
      <c r="D47" s="938">
        <f>'[1]Аукцион '!AB181</f>
        <v>0</v>
      </c>
      <c r="E47" s="939" t="e">
        <f>H47/C47</f>
        <v>#DIV/0!</v>
      </c>
      <c r="F47" s="938" t="e">
        <f>I47/D47</f>
        <v>#DIV/0!</v>
      </c>
      <c r="G47" s="940">
        <f>H47+I47</f>
        <v>0</v>
      </c>
      <c r="H47" s="940">
        <f>'[1]Аукцион '!AA181</f>
        <v>0</v>
      </c>
      <c r="I47" s="940">
        <f>'[1]Аукцион '!AC181</f>
        <v>0</v>
      </c>
      <c r="J47" s="1049"/>
      <c r="K47" s="1050"/>
      <c r="L47" s="1050"/>
      <c r="M47" s="1050"/>
      <c r="N47" s="1045"/>
      <c r="O47" s="1050"/>
      <c r="P47" s="1050"/>
      <c r="Q47" s="1050"/>
      <c r="R47" s="1050"/>
      <c r="S47" s="1049"/>
      <c r="T47" s="1050"/>
      <c r="U47" s="1050"/>
      <c r="V47" s="1050"/>
      <c r="W47" s="1049"/>
      <c r="X47" s="1050"/>
      <c r="Y47" s="1050"/>
      <c r="Z47" s="1050"/>
      <c r="AA47" s="1050"/>
      <c r="AB47" s="1046"/>
      <c r="AC47" s="1051">
        <f>K47+L47+M47+O47+Y47+Z47+AA47</f>
        <v>0</v>
      </c>
      <c r="AD47" s="1046">
        <f t="shared" si="2"/>
        <v>0</v>
      </c>
      <c r="AE47" s="1028"/>
      <c r="AF47" s="1028"/>
      <c r="AG47" s="1028"/>
    </row>
    <row r="48" spans="1:33" s="1024" customFormat="1" hidden="1">
      <c r="A48" s="936" t="s">
        <v>994</v>
      </c>
      <c r="B48" s="937"/>
      <c r="C48" s="937"/>
      <c r="D48" s="937"/>
      <c r="E48" s="939"/>
      <c r="F48" s="938"/>
      <c r="G48" s="940"/>
      <c r="H48" s="940"/>
      <c r="I48" s="940"/>
      <c r="J48" s="1049"/>
      <c r="K48" s="1050"/>
      <c r="L48" s="1050"/>
      <c r="M48" s="1050"/>
      <c r="N48" s="1045"/>
      <c r="O48" s="1050"/>
      <c r="P48" s="1050"/>
      <c r="Q48" s="1050"/>
      <c r="R48" s="1050"/>
      <c r="S48" s="1049"/>
      <c r="T48" s="1050"/>
      <c r="U48" s="1050"/>
      <c r="V48" s="1050"/>
      <c r="W48" s="1049"/>
      <c r="X48" s="1050"/>
      <c r="Y48" s="1050"/>
      <c r="Z48" s="1050"/>
      <c r="AA48" s="1050"/>
      <c r="AB48" s="1046"/>
      <c r="AC48" s="1028"/>
      <c r="AD48" s="1046">
        <f t="shared" si="2"/>
        <v>0</v>
      </c>
      <c r="AE48" s="1028"/>
      <c r="AF48" s="1028"/>
      <c r="AG48" s="1028"/>
    </row>
    <row r="49" spans="1:33" s="1024" customFormat="1" hidden="1">
      <c r="A49" s="937" t="s">
        <v>995</v>
      </c>
      <c r="B49" s="937" t="s">
        <v>470</v>
      </c>
      <c r="C49" s="938">
        <f>'[1]Аукцион '!AD181</f>
        <v>0</v>
      </c>
      <c r="D49" s="937"/>
      <c r="E49" s="939" t="e">
        <f>H49/C49</f>
        <v>#DIV/0!</v>
      </c>
      <c r="F49" s="938"/>
      <c r="G49" s="940">
        <f>H49+I49</f>
        <v>0</v>
      </c>
      <c r="H49" s="940">
        <f>'[1]Аукцион '!AE181+'[1]Аукцион '!AK181</f>
        <v>0</v>
      </c>
      <c r="I49" s="940">
        <v>0</v>
      </c>
      <c r="J49" s="1049"/>
      <c r="K49" s="1050"/>
      <c r="L49" s="1050"/>
      <c r="M49" s="1050"/>
      <c r="N49" s="1045"/>
      <c r="O49" s="1050"/>
      <c r="P49" s="1050"/>
      <c r="Q49" s="1050"/>
      <c r="R49" s="1050"/>
      <c r="S49" s="1049"/>
      <c r="T49" s="1050"/>
      <c r="U49" s="1050"/>
      <c r="V49" s="1050"/>
      <c r="W49" s="1049"/>
      <c r="X49" s="1050"/>
      <c r="Y49" s="1050"/>
      <c r="Z49" s="1050"/>
      <c r="AA49" s="1050"/>
      <c r="AB49" s="1046"/>
      <c r="AC49" s="1028"/>
      <c r="AD49" s="1046">
        <f t="shared" si="2"/>
        <v>0</v>
      </c>
      <c r="AE49" s="1028"/>
      <c r="AF49" s="1028"/>
      <c r="AG49" s="1028"/>
    </row>
    <row r="50" spans="1:33" s="1024" customFormat="1" hidden="1">
      <c r="A50" s="936" t="s">
        <v>1005</v>
      </c>
      <c r="B50" s="937" t="s">
        <v>25</v>
      </c>
      <c r="C50" s="938">
        <f>'[1]Аукцион '!AN181</f>
        <v>0</v>
      </c>
      <c r="D50" s="937"/>
      <c r="E50" s="939" t="e">
        <f>H50/C50</f>
        <v>#DIV/0!</v>
      </c>
      <c r="F50" s="938"/>
      <c r="G50" s="940">
        <f>H50+I50</f>
        <v>0</v>
      </c>
      <c r="H50" s="940">
        <f>'[1]Аукцион '!AO181</f>
        <v>0</v>
      </c>
      <c r="I50" s="940">
        <v>0</v>
      </c>
      <c r="J50" s="1049"/>
      <c r="K50" s="1050"/>
      <c r="L50" s="1050"/>
      <c r="M50" s="1050"/>
      <c r="N50" s="1045"/>
      <c r="O50" s="1050"/>
      <c r="P50" s="1050"/>
      <c r="Q50" s="1050"/>
      <c r="R50" s="1050"/>
      <c r="S50" s="1049"/>
      <c r="T50" s="1050"/>
      <c r="U50" s="1050"/>
      <c r="V50" s="1050"/>
      <c r="W50" s="1049"/>
      <c r="X50" s="1050"/>
      <c r="Y50" s="1050"/>
      <c r="Z50" s="1050"/>
      <c r="AA50" s="1050"/>
      <c r="AB50" s="1046"/>
      <c r="AC50" s="1028"/>
      <c r="AD50" s="1046">
        <f t="shared" si="2"/>
        <v>0</v>
      </c>
      <c r="AE50" s="1028"/>
      <c r="AF50" s="1028"/>
      <c r="AG50" s="1028"/>
    </row>
    <row r="51" spans="1:33" s="1024" customFormat="1" ht="24" hidden="1">
      <c r="A51" s="936" t="s">
        <v>998</v>
      </c>
      <c r="B51" s="937" t="s">
        <v>999</v>
      </c>
      <c r="C51" s="938">
        <f>'[1]Аукцион '!AR181</f>
        <v>0</v>
      </c>
      <c r="D51" s="937"/>
      <c r="E51" s="939" t="e">
        <f>H51/C51</f>
        <v>#DIV/0!</v>
      </c>
      <c r="F51" s="938"/>
      <c r="G51" s="940">
        <f>H51+I51</f>
        <v>0</v>
      </c>
      <c r="H51" s="940">
        <f>'[1]Аукцион '!AS181</f>
        <v>0</v>
      </c>
      <c r="I51" s="940">
        <v>0</v>
      </c>
      <c r="J51" s="1049"/>
      <c r="K51" s="1050"/>
      <c r="L51" s="1050"/>
      <c r="M51" s="1050"/>
      <c r="N51" s="1045"/>
      <c r="O51" s="1050"/>
      <c r="P51" s="1050"/>
      <c r="Q51" s="1050"/>
      <c r="R51" s="1050"/>
      <c r="S51" s="1049"/>
      <c r="T51" s="1050"/>
      <c r="U51" s="1050"/>
      <c r="V51" s="1050"/>
      <c r="W51" s="1049"/>
      <c r="X51" s="1050"/>
      <c r="Y51" s="1050"/>
      <c r="Z51" s="1050"/>
      <c r="AA51" s="1050"/>
      <c r="AB51" s="1046"/>
      <c r="AC51" s="1028"/>
      <c r="AD51" s="1046">
        <f t="shared" si="2"/>
        <v>0</v>
      </c>
      <c r="AE51" s="1028"/>
      <c r="AF51" s="1028"/>
      <c r="AG51" s="1028"/>
    </row>
    <row r="52" spans="1:33" s="1024" customFormat="1" hidden="1">
      <c r="A52" s="936" t="s">
        <v>1006</v>
      </c>
      <c r="B52" s="937" t="s">
        <v>25</v>
      </c>
      <c r="C52" s="938">
        <f>'[1]Аукцион '!AV181</f>
        <v>0</v>
      </c>
      <c r="D52" s="937"/>
      <c r="E52" s="939" t="e">
        <f>H52/C52</f>
        <v>#DIV/0!</v>
      </c>
      <c r="F52" s="938"/>
      <c r="G52" s="940">
        <f>H52+I52</f>
        <v>0</v>
      </c>
      <c r="H52" s="940">
        <f>'[1]Аукцион '!AW181</f>
        <v>0</v>
      </c>
      <c r="I52" s="940">
        <v>0</v>
      </c>
      <c r="J52" s="1049"/>
      <c r="K52" s="1050"/>
      <c r="L52" s="1050"/>
      <c r="M52" s="1050"/>
      <c r="N52" s="1045"/>
      <c r="O52" s="1050"/>
      <c r="P52" s="1050"/>
      <c r="Q52" s="1050"/>
      <c r="R52" s="1050"/>
      <c r="S52" s="1049"/>
      <c r="T52" s="1050"/>
      <c r="U52" s="1050"/>
      <c r="V52" s="1050"/>
      <c r="W52" s="1049"/>
      <c r="X52" s="1050"/>
      <c r="Y52" s="1050"/>
      <c r="Z52" s="1050"/>
      <c r="AA52" s="1050"/>
      <c r="AB52" s="1046"/>
      <c r="AC52" s="1028"/>
      <c r="AD52" s="1046">
        <f t="shared" si="2"/>
        <v>0</v>
      </c>
      <c r="AE52" s="1028"/>
      <c r="AF52" s="1028"/>
      <c r="AG52" s="1028"/>
    </row>
    <row r="53" spans="1:33" s="1024" customFormat="1" hidden="1">
      <c r="A53" s="936"/>
      <c r="B53" s="937"/>
      <c r="C53" s="937"/>
      <c r="D53" s="937"/>
      <c r="E53" s="939"/>
      <c r="F53" s="938"/>
      <c r="G53" s="940">
        <f>SUM(G44:G52)</f>
        <v>0</v>
      </c>
      <c r="H53" s="941">
        <f>H44+H45+H46+H47+H49+H50+H51+H52</f>
        <v>0</v>
      </c>
      <c r="I53" s="941">
        <f>I46+I45+I47</f>
        <v>0</v>
      </c>
      <c r="J53" s="1049"/>
      <c r="K53" s="1049"/>
      <c r="L53" s="1049"/>
      <c r="M53" s="1049"/>
      <c r="N53" s="1045"/>
      <c r="O53" s="1049"/>
      <c r="P53" s="1049"/>
      <c r="Q53" s="1049"/>
      <c r="R53" s="1049"/>
      <c r="S53" s="1049"/>
      <c r="T53" s="1049"/>
      <c r="U53" s="1049"/>
      <c r="V53" s="1049"/>
      <c r="W53" s="1049"/>
      <c r="X53" s="1049"/>
      <c r="Y53" s="1049"/>
      <c r="Z53" s="1049"/>
      <c r="AA53" s="1049"/>
      <c r="AB53" s="1046"/>
      <c r="AC53" s="1028"/>
      <c r="AD53" s="1046">
        <f t="shared" si="2"/>
        <v>0</v>
      </c>
      <c r="AE53" s="1028"/>
      <c r="AF53" s="1028"/>
      <c r="AG53" s="1028"/>
    </row>
    <row r="54" spans="1:33" s="1048" customFormat="1" ht="48" hidden="1">
      <c r="A54" s="942" t="s">
        <v>1007</v>
      </c>
      <c r="B54" s="942"/>
      <c r="C54" s="942"/>
      <c r="D54" s="942"/>
      <c r="E54" s="943"/>
      <c r="F54" s="944"/>
      <c r="G54" s="945">
        <f>H54+I54</f>
        <v>0</v>
      </c>
      <c r="H54" s="945">
        <f>H55+H56+H57+H58+H60+H61+H62+H63+H64</f>
        <v>0</v>
      </c>
      <c r="I54" s="945">
        <f>I55+I56+I57+I58</f>
        <v>0</v>
      </c>
      <c r="J54" s="1049"/>
      <c r="K54" s="1049"/>
      <c r="L54" s="1049"/>
      <c r="M54" s="1049"/>
      <c r="N54" s="1045"/>
      <c r="O54" s="1049"/>
      <c r="P54" s="1049"/>
      <c r="Q54" s="1049"/>
      <c r="R54" s="1049"/>
      <c r="S54" s="1049"/>
      <c r="T54" s="1049"/>
      <c r="U54" s="1049"/>
      <c r="V54" s="1049"/>
      <c r="W54" s="1049"/>
      <c r="X54" s="1049"/>
      <c r="Y54" s="1049"/>
      <c r="Z54" s="1049"/>
      <c r="AA54" s="1049"/>
      <c r="AB54" s="1046"/>
      <c r="AC54" s="1047"/>
      <c r="AD54" s="1046">
        <f t="shared" si="2"/>
        <v>0</v>
      </c>
      <c r="AE54" s="1047"/>
      <c r="AF54" s="1047"/>
      <c r="AG54" s="1047"/>
    </row>
    <row r="55" spans="1:33" s="1024" customFormat="1" hidden="1">
      <c r="A55" s="936" t="s">
        <v>990</v>
      </c>
      <c r="B55" s="937" t="s">
        <v>470</v>
      </c>
      <c r="C55" s="938">
        <f>'[1]Аукцион '!F182</f>
        <v>0</v>
      </c>
      <c r="D55" s="937"/>
      <c r="E55" s="939" t="e">
        <f>H55/C55</f>
        <v>#DIV/0!</v>
      </c>
      <c r="F55" s="938"/>
      <c r="G55" s="940">
        <f>H55+I55</f>
        <v>0</v>
      </c>
      <c r="H55" s="940">
        <f>'[1]Аукцион '!G182</f>
        <v>0</v>
      </c>
      <c r="I55" s="940"/>
      <c r="J55" s="1049"/>
      <c r="K55" s="1050"/>
      <c r="L55" s="1050"/>
      <c r="M55" s="1050"/>
      <c r="N55" s="1045"/>
      <c r="O55" s="1050"/>
      <c r="P55" s="1050"/>
      <c r="Q55" s="1050"/>
      <c r="R55" s="1050"/>
      <c r="S55" s="1049"/>
      <c r="T55" s="1050"/>
      <c r="U55" s="1050"/>
      <c r="V55" s="1050"/>
      <c r="W55" s="1049"/>
      <c r="X55" s="1050"/>
      <c r="Y55" s="1050"/>
      <c r="Z55" s="1050"/>
      <c r="AA55" s="1050"/>
      <c r="AB55" s="1046"/>
      <c r="AC55" s="1028"/>
      <c r="AD55" s="1046">
        <f t="shared" si="2"/>
        <v>0</v>
      </c>
      <c r="AE55" s="1028"/>
      <c r="AF55" s="1028"/>
      <c r="AG55" s="1028"/>
    </row>
    <row r="56" spans="1:33" s="1024" customFormat="1" ht="24" hidden="1">
      <c r="A56" s="936" t="s">
        <v>991</v>
      </c>
      <c r="B56" s="937" t="s">
        <v>470</v>
      </c>
      <c r="C56" s="938">
        <f>'[1]Аукцион '!Q182+'[1]Аукцион '!S182</f>
        <v>0</v>
      </c>
      <c r="D56" s="938">
        <f>'[1]Аукцион '!M182+'[1]Аукцион '!O182</f>
        <v>0</v>
      </c>
      <c r="E56" s="939" t="e">
        <f>H56/C56</f>
        <v>#DIV/0!</v>
      </c>
      <c r="F56" s="938" t="e">
        <f>I56/D56</f>
        <v>#DIV/0!</v>
      </c>
      <c r="G56" s="940">
        <f>H56+I56</f>
        <v>0</v>
      </c>
      <c r="H56" s="940">
        <f>'[1]Аукцион '!R182+'[1]Аукцион '!T182</f>
        <v>0</v>
      </c>
      <c r="I56" s="940">
        <f>'[1]Аукцион '!N182+'[1]Аукцион '!P182+'[1]Аукцион '!I182</f>
        <v>0</v>
      </c>
      <c r="J56" s="1049"/>
      <c r="K56" s="1050"/>
      <c r="L56" s="1050"/>
      <c r="M56" s="1050"/>
      <c r="N56" s="1045"/>
      <c r="O56" s="1050"/>
      <c r="P56" s="1050"/>
      <c r="Q56" s="1050"/>
      <c r="R56" s="1050"/>
      <c r="S56" s="1049"/>
      <c r="T56" s="1050"/>
      <c r="U56" s="1050"/>
      <c r="V56" s="1050"/>
      <c r="W56" s="1049"/>
      <c r="X56" s="1050"/>
      <c r="Y56" s="1050"/>
      <c r="Z56" s="1050"/>
      <c r="AA56" s="1050"/>
      <c r="AB56" s="1046"/>
      <c r="AC56" s="1051">
        <f>K56+L56+M56+O56+Y56+Z56+AA56</f>
        <v>0</v>
      </c>
      <c r="AD56" s="1046">
        <f t="shared" si="2"/>
        <v>0</v>
      </c>
      <c r="AE56" s="1028"/>
      <c r="AF56" s="1028"/>
      <c r="AG56" s="1028"/>
    </row>
    <row r="57" spans="1:33" s="1024" customFormat="1" hidden="1">
      <c r="A57" s="936" t="s">
        <v>992</v>
      </c>
      <c r="B57" s="937" t="s">
        <v>25</v>
      </c>
      <c r="C57" s="938">
        <f>'[1]Аукцион '!U182</f>
        <v>0</v>
      </c>
      <c r="D57" s="938">
        <f>'[1]Аукцион '!X182</f>
        <v>0</v>
      </c>
      <c r="E57" s="939" t="e">
        <f>H57/C57</f>
        <v>#DIV/0!</v>
      </c>
      <c r="F57" s="938" t="e">
        <f>I57/D57</f>
        <v>#DIV/0!</v>
      </c>
      <c r="G57" s="940">
        <f>H57+I57</f>
        <v>0</v>
      </c>
      <c r="H57" s="940">
        <f>'[1]Аукцион '!V182+'[1]Аукцион '!W182</f>
        <v>0</v>
      </c>
      <c r="I57" s="940">
        <f>'[1]Аукцион '!Y182</f>
        <v>0</v>
      </c>
      <c r="J57" s="1049"/>
      <c r="K57" s="1050"/>
      <c r="L57" s="1050"/>
      <c r="M57" s="1050"/>
      <c r="N57" s="1045"/>
      <c r="O57" s="1050"/>
      <c r="P57" s="1050"/>
      <c r="Q57" s="1050"/>
      <c r="R57" s="1050"/>
      <c r="S57" s="1049"/>
      <c r="T57" s="1050"/>
      <c r="U57" s="1050"/>
      <c r="V57" s="1050"/>
      <c r="W57" s="1049"/>
      <c r="X57" s="1050"/>
      <c r="Y57" s="1050"/>
      <c r="Z57" s="1050"/>
      <c r="AA57" s="1050"/>
      <c r="AB57" s="1046"/>
      <c r="AC57" s="1051">
        <f>K57+L57+M57+O57+Y57+Z57+AA57</f>
        <v>0</v>
      </c>
      <c r="AD57" s="1046">
        <f t="shared" si="2"/>
        <v>0</v>
      </c>
      <c r="AE57" s="1028"/>
      <c r="AF57" s="1028"/>
      <c r="AG57" s="1028"/>
    </row>
    <row r="58" spans="1:33" s="1024" customFormat="1" hidden="1">
      <c r="A58" s="936" t="s">
        <v>993</v>
      </c>
      <c r="B58" s="937" t="s">
        <v>25</v>
      </c>
      <c r="C58" s="938">
        <f>'[1]Аукцион '!Z182</f>
        <v>0</v>
      </c>
      <c r="D58" s="938">
        <f>'[1]Аукцион '!AB182</f>
        <v>0</v>
      </c>
      <c r="E58" s="939" t="e">
        <f>H58/C58</f>
        <v>#DIV/0!</v>
      </c>
      <c r="F58" s="938" t="e">
        <f>I58/D58</f>
        <v>#DIV/0!</v>
      </c>
      <c r="G58" s="940">
        <f>H58+I58</f>
        <v>0</v>
      </c>
      <c r="H58" s="940">
        <f>'[1]Аукцион '!AA182</f>
        <v>0</v>
      </c>
      <c r="I58" s="940">
        <f>'[1]Аукцион '!AC182</f>
        <v>0</v>
      </c>
      <c r="J58" s="1049"/>
      <c r="K58" s="1050"/>
      <c r="L58" s="1050"/>
      <c r="M58" s="1050"/>
      <c r="N58" s="1045"/>
      <c r="O58" s="1050"/>
      <c r="P58" s="1050"/>
      <c r="Q58" s="1050"/>
      <c r="R58" s="1050"/>
      <c r="S58" s="1049"/>
      <c r="T58" s="1050"/>
      <c r="U58" s="1050"/>
      <c r="V58" s="1050"/>
      <c r="W58" s="1049"/>
      <c r="X58" s="1050"/>
      <c r="Y58" s="1050"/>
      <c r="Z58" s="1050"/>
      <c r="AA58" s="1050"/>
      <c r="AB58" s="1046"/>
      <c r="AC58" s="1051">
        <f>K58+L58+M58+O58:O59+Y58+Z58+AA58</f>
        <v>0</v>
      </c>
      <c r="AD58" s="1046">
        <f t="shared" si="2"/>
        <v>0</v>
      </c>
      <c r="AE58" s="1028"/>
      <c r="AF58" s="1028"/>
      <c r="AG58" s="1028"/>
    </row>
    <row r="59" spans="1:33" s="1024" customFormat="1" hidden="1">
      <c r="A59" s="936" t="s">
        <v>994</v>
      </c>
      <c r="B59" s="937"/>
      <c r="C59" s="937"/>
      <c r="D59" s="937"/>
      <c r="E59" s="939"/>
      <c r="F59" s="938"/>
      <c r="G59" s="940"/>
      <c r="H59" s="940"/>
      <c r="I59" s="940"/>
      <c r="J59" s="1049"/>
      <c r="K59" s="1050"/>
      <c r="L59" s="1050"/>
      <c r="M59" s="1050"/>
      <c r="N59" s="1045"/>
      <c r="O59" s="1050"/>
      <c r="P59" s="1050"/>
      <c r="Q59" s="1050"/>
      <c r="R59" s="1050"/>
      <c r="S59" s="1049"/>
      <c r="T59" s="1050"/>
      <c r="U59" s="1050"/>
      <c r="V59" s="1050"/>
      <c r="W59" s="1049"/>
      <c r="X59" s="1050"/>
      <c r="Y59" s="1050"/>
      <c r="Z59" s="1050"/>
      <c r="AA59" s="1050"/>
      <c r="AB59" s="1046"/>
      <c r="AC59" s="1028"/>
      <c r="AD59" s="1046">
        <f t="shared" si="2"/>
        <v>0</v>
      </c>
      <c r="AE59" s="1028"/>
      <c r="AF59" s="1028"/>
      <c r="AG59" s="1028"/>
    </row>
    <row r="60" spans="1:33" s="1024" customFormat="1" hidden="1">
      <c r="A60" s="937" t="s">
        <v>995</v>
      </c>
      <c r="B60" s="937" t="s">
        <v>470</v>
      </c>
      <c r="C60" s="938">
        <f>'[1]Аукцион '!AD182</f>
        <v>0</v>
      </c>
      <c r="D60" s="937"/>
      <c r="E60" s="939" t="e">
        <f>H60/C60</f>
        <v>#DIV/0!</v>
      </c>
      <c r="F60" s="938"/>
      <c r="G60" s="940">
        <f>H60+I60</f>
        <v>0</v>
      </c>
      <c r="H60" s="940">
        <f>'[1]Аукцион '!AE182+'[1]Аукцион '!AK182</f>
        <v>0</v>
      </c>
      <c r="I60" s="940">
        <v>0</v>
      </c>
      <c r="J60" s="1049"/>
      <c r="K60" s="1050"/>
      <c r="L60" s="1050"/>
      <c r="M60" s="1050"/>
      <c r="N60" s="1045"/>
      <c r="O60" s="1050"/>
      <c r="P60" s="1050"/>
      <c r="Q60" s="1050"/>
      <c r="R60" s="1050"/>
      <c r="S60" s="1049"/>
      <c r="T60" s="1050"/>
      <c r="U60" s="1050"/>
      <c r="V60" s="1050"/>
      <c r="W60" s="1049"/>
      <c r="X60" s="1050"/>
      <c r="Y60" s="1050"/>
      <c r="Z60" s="1050"/>
      <c r="AA60" s="1050"/>
      <c r="AB60" s="1046"/>
      <c r="AC60" s="1028"/>
      <c r="AD60" s="1046">
        <f t="shared" si="2"/>
        <v>0</v>
      </c>
      <c r="AE60" s="1028"/>
      <c r="AF60" s="1028"/>
      <c r="AG60" s="1028"/>
    </row>
    <row r="61" spans="1:33" s="1024" customFormat="1" hidden="1">
      <c r="A61" s="937" t="s">
        <v>996</v>
      </c>
      <c r="B61" s="937" t="s">
        <v>470</v>
      </c>
      <c r="C61" s="938">
        <f>'[1]Аукцион '!AL182</f>
        <v>0</v>
      </c>
      <c r="D61" s="937"/>
      <c r="E61" s="939" t="e">
        <f>H61/C61</f>
        <v>#DIV/0!</v>
      </c>
      <c r="F61" s="938"/>
      <c r="G61" s="940">
        <f>H61+I61</f>
        <v>0</v>
      </c>
      <c r="H61" s="940">
        <f>'[1]Аукцион '!AM182</f>
        <v>0</v>
      </c>
      <c r="I61" s="940">
        <v>0</v>
      </c>
      <c r="J61" s="1049"/>
      <c r="K61" s="1050"/>
      <c r="L61" s="1050"/>
      <c r="M61" s="1050"/>
      <c r="N61" s="1045"/>
      <c r="O61" s="1050"/>
      <c r="P61" s="1050"/>
      <c r="Q61" s="1050"/>
      <c r="R61" s="1050"/>
      <c r="S61" s="1049"/>
      <c r="T61" s="1050"/>
      <c r="U61" s="1050"/>
      <c r="V61" s="1050"/>
      <c r="W61" s="1049"/>
      <c r="X61" s="1050"/>
      <c r="Y61" s="1050"/>
      <c r="Z61" s="1050"/>
      <c r="AA61" s="1050"/>
      <c r="AB61" s="1046"/>
      <c r="AC61" s="1028"/>
      <c r="AD61" s="1046">
        <f t="shared" si="2"/>
        <v>0</v>
      </c>
      <c r="AE61" s="1028"/>
      <c r="AF61" s="1028"/>
      <c r="AG61" s="1028"/>
    </row>
    <row r="62" spans="1:33" s="1024" customFormat="1" hidden="1">
      <c r="A62" s="936" t="s">
        <v>1005</v>
      </c>
      <c r="B62" s="937" t="s">
        <v>25</v>
      </c>
      <c r="C62" s="938">
        <f>'[1]Аукцион '!AN182</f>
        <v>0</v>
      </c>
      <c r="D62" s="937"/>
      <c r="E62" s="939" t="e">
        <f>H62/C62</f>
        <v>#DIV/0!</v>
      </c>
      <c r="F62" s="938"/>
      <c r="G62" s="940">
        <f>H62+I62</f>
        <v>0</v>
      </c>
      <c r="H62" s="940">
        <f>'[1]Аукцион '!AO182</f>
        <v>0</v>
      </c>
      <c r="I62" s="940">
        <v>0</v>
      </c>
      <c r="J62" s="1049"/>
      <c r="K62" s="1050"/>
      <c r="L62" s="1050"/>
      <c r="M62" s="1050"/>
      <c r="N62" s="1045"/>
      <c r="O62" s="1050"/>
      <c r="P62" s="1050"/>
      <c r="Q62" s="1050"/>
      <c r="R62" s="1050"/>
      <c r="S62" s="1049"/>
      <c r="T62" s="1050"/>
      <c r="U62" s="1050"/>
      <c r="V62" s="1050"/>
      <c r="W62" s="1049"/>
      <c r="X62" s="1050"/>
      <c r="Y62" s="1050"/>
      <c r="Z62" s="1050"/>
      <c r="AA62" s="1050"/>
      <c r="AB62" s="1046"/>
      <c r="AC62" s="1028"/>
      <c r="AD62" s="1046">
        <f t="shared" si="2"/>
        <v>0</v>
      </c>
      <c r="AE62" s="1028"/>
      <c r="AF62" s="1028"/>
      <c r="AG62" s="1028"/>
    </row>
    <row r="63" spans="1:33" s="1024" customFormat="1" ht="24" hidden="1">
      <c r="A63" s="936" t="s">
        <v>1008</v>
      </c>
      <c r="B63" s="937" t="s">
        <v>999</v>
      </c>
      <c r="C63" s="938">
        <f>'[1]Аукцион '!AP182</f>
        <v>0</v>
      </c>
      <c r="D63" s="937"/>
      <c r="E63" s="939" t="e">
        <f>H63/C63</f>
        <v>#DIV/0!</v>
      </c>
      <c r="F63" s="938"/>
      <c r="G63" s="940">
        <f>H63+I63</f>
        <v>0</v>
      </c>
      <c r="H63" s="940">
        <f>'[1]Аукцион '!AQ182</f>
        <v>0</v>
      </c>
      <c r="I63" s="940">
        <v>0</v>
      </c>
      <c r="J63" s="1049"/>
      <c r="K63" s="1050"/>
      <c r="L63" s="1050"/>
      <c r="M63" s="1050"/>
      <c r="N63" s="1045"/>
      <c r="O63" s="1050"/>
      <c r="P63" s="1050"/>
      <c r="Q63" s="1050"/>
      <c r="R63" s="1050"/>
      <c r="S63" s="1049"/>
      <c r="T63" s="1050"/>
      <c r="U63" s="1050"/>
      <c r="V63" s="1050"/>
      <c r="W63" s="1049"/>
      <c r="X63" s="1050"/>
      <c r="Y63" s="1050"/>
      <c r="Z63" s="1050"/>
      <c r="AA63" s="1050"/>
      <c r="AB63" s="1046"/>
      <c r="AC63" s="1028"/>
      <c r="AD63" s="1046">
        <f t="shared" si="2"/>
        <v>0</v>
      </c>
      <c r="AE63" s="1028"/>
      <c r="AF63" s="1028"/>
      <c r="AG63" s="1028"/>
    </row>
    <row r="64" spans="1:33" s="1024" customFormat="1" hidden="1">
      <c r="A64" s="936" t="s">
        <v>1006</v>
      </c>
      <c r="B64" s="937" t="s">
        <v>25</v>
      </c>
      <c r="C64" s="938">
        <f>'[1]Аукцион '!AV182</f>
        <v>0</v>
      </c>
      <c r="D64" s="937"/>
      <c r="E64" s="939" t="e">
        <f>H64/C64</f>
        <v>#DIV/0!</v>
      </c>
      <c r="F64" s="938"/>
      <c r="G64" s="940">
        <f>H64+I64</f>
        <v>0</v>
      </c>
      <c r="H64" s="940">
        <f>'[1]Аукцион '!AW182</f>
        <v>0</v>
      </c>
      <c r="I64" s="940">
        <v>0</v>
      </c>
      <c r="J64" s="1049"/>
      <c r="K64" s="1050"/>
      <c r="L64" s="1050"/>
      <c r="M64" s="1050"/>
      <c r="N64" s="1045"/>
      <c r="O64" s="1050"/>
      <c r="P64" s="1050"/>
      <c r="Q64" s="1050"/>
      <c r="R64" s="1050"/>
      <c r="S64" s="1049"/>
      <c r="T64" s="1050"/>
      <c r="U64" s="1050"/>
      <c r="V64" s="1050"/>
      <c r="W64" s="1049"/>
      <c r="X64" s="1050"/>
      <c r="Y64" s="1050"/>
      <c r="Z64" s="1050"/>
      <c r="AA64" s="1050"/>
      <c r="AB64" s="1046"/>
      <c r="AC64" s="1028"/>
      <c r="AD64" s="1046">
        <f t="shared" si="2"/>
        <v>0</v>
      </c>
      <c r="AE64" s="1028"/>
      <c r="AF64" s="1028"/>
      <c r="AG64" s="1028"/>
    </row>
    <row r="65" spans="1:33" s="1023" customFormat="1" hidden="1">
      <c r="A65" s="349"/>
      <c r="B65" s="349"/>
      <c r="C65" s="349"/>
      <c r="D65" s="349"/>
      <c r="E65" s="946"/>
      <c r="F65" s="947"/>
      <c r="G65" s="940">
        <f>SUM(G55:G64)</f>
        <v>0</v>
      </c>
      <c r="H65" s="941">
        <f>H55+H56+H57+H58+H60+H61+H62+H63+H64</f>
        <v>0</v>
      </c>
      <c r="I65" s="941">
        <f>I56+I57+I58</f>
        <v>0</v>
      </c>
      <c r="J65" s="1049"/>
      <c r="K65" s="1049"/>
      <c r="L65" s="1049"/>
      <c r="M65" s="1049"/>
      <c r="N65" s="1045"/>
      <c r="O65" s="1049"/>
      <c r="P65" s="1049"/>
      <c r="Q65" s="1049"/>
      <c r="R65" s="1049"/>
      <c r="S65" s="1049"/>
      <c r="T65" s="1049"/>
      <c r="U65" s="1049"/>
      <c r="V65" s="1049"/>
      <c r="W65" s="1049"/>
      <c r="X65" s="1049"/>
      <c r="Y65" s="1049"/>
      <c r="Z65" s="1049"/>
      <c r="AA65" s="1049"/>
      <c r="AB65" s="1046"/>
      <c r="AC65" s="1028"/>
      <c r="AD65" s="1046">
        <f t="shared" si="2"/>
        <v>0</v>
      </c>
      <c r="AE65" s="1028"/>
      <c r="AF65" s="1028"/>
      <c r="AG65" s="1028"/>
    </row>
    <row r="66" spans="1:33" s="1048" customFormat="1" hidden="1">
      <c r="A66" s="942" t="s">
        <v>1009</v>
      </c>
      <c r="B66" s="942"/>
      <c r="C66" s="942"/>
      <c r="D66" s="942"/>
      <c r="E66" s="943"/>
      <c r="F66" s="944"/>
      <c r="G66" s="945">
        <f>H66+I66</f>
        <v>0</v>
      </c>
      <c r="H66" s="945">
        <f>'[1]Аукцион '!L183</f>
        <v>0</v>
      </c>
      <c r="I66" s="945">
        <v>0</v>
      </c>
      <c r="J66" s="1049"/>
      <c r="K66" s="1049"/>
      <c r="L66" s="1049"/>
      <c r="M66" s="1049"/>
      <c r="N66" s="1045"/>
      <c r="O66" s="1049"/>
      <c r="P66" s="1049"/>
      <c r="Q66" s="1049"/>
      <c r="R66" s="1049"/>
      <c r="S66" s="1049"/>
      <c r="T66" s="1049"/>
      <c r="U66" s="1049"/>
      <c r="V66" s="1049"/>
      <c r="W66" s="1049"/>
      <c r="X66" s="1049"/>
      <c r="Y66" s="1049"/>
      <c r="Z66" s="1049"/>
      <c r="AA66" s="1049"/>
      <c r="AB66" s="1046"/>
      <c r="AC66" s="1047"/>
      <c r="AD66" s="1046">
        <f t="shared" si="2"/>
        <v>0</v>
      </c>
      <c r="AE66" s="1047"/>
      <c r="AF66" s="1047"/>
      <c r="AG66" s="1047"/>
    </row>
    <row r="67" spans="1:33" s="1024" customFormat="1" hidden="1">
      <c r="A67" s="936" t="s">
        <v>990</v>
      </c>
      <c r="B67" s="948" t="s">
        <v>470</v>
      </c>
      <c r="C67" s="947">
        <f>'[1]Аукцион '!F183</f>
        <v>0</v>
      </c>
      <c r="D67" s="349"/>
      <c r="E67" s="946" t="e">
        <f>H67/C67</f>
        <v>#DIV/0!</v>
      </c>
      <c r="F67" s="947"/>
      <c r="G67" s="940">
        <f>H67+I67</f>
        <v>0</v>
      </c>
      <c r="H67" s="940">
        <f>'[1]Аукцион '!G183</f>
        <v>0</v>
      </c>
      <c r="I67" s="940">
        <v>0</v>
      </c>
      <c r="J67" s="1049"/>
      <c r="K67" s="1050"/>
      <c r="L67" s="1050"/>
      <c r="M67" s="1050"/>
      <c r="N67" s="1045"/>
      <c r="O67" s="1050"/>
      <c r="P67" s="1050"/>
      <c r="Q67" s="1050"/>
      <c r="R67" s="1050"/>
      <c r="S67" s="1049"/>
      <c r="T67" s="1050"/>
      <c r="U67" s="1050"/>
      <c r="V67" s="1050"/>
      <c r="W67" s="1049"/>
      <c r="X67" s="1050"/>
      <c r="Y67" s="1050"/>
      <c r="Z67" s="1050"/>
      <c r="AA67" s="1050"/>
      <c r="AB67" s="1046"/>
      <c r="AC67" s="1028"/>
      <c r="AD67" s="1046">
        <f t="shared" si="2"/>
        <v>0</v>
      </c>
      <c r="AE67" s="1028"/>
      <c r="AF67" s="1028"/>
      <c r="AG67" s="1028"/>
    </row>
    <row r="68" spans="1:33" s="1024" customFormat="1" ht="24" hidden="1">
      <c r="A68" s="936" t="s">
        <v>998</v>
      </c>
      <c r="B68" s="937" t="s">
        <v>999</v>
      </c>
      <c r="C68" s="947">
        <f>'[1]Аукцион '!AR183</f>
        <v>0</v>
      </c>
      <c r="D68" s="349"/>
      <c r="E68" s="946" t="e">
        <f>H68/C68</f>
        <v>#DIV/0!</v>
      </c>
      <c r="F68" s="947"/>
      <c r="G68" s="940">
        <f>H68+I68</f>
        <v>0</v>
      </c>
      <c r="H68" s="940">
        <f>'[1]Аукцион '!AS183</f>
        <v>0</v>
      </c>
      <c r="I68" s="940">
        <v>0</v>
      </c>
      <c r="J68" s="1049"/>
      <c r="K68" s="1050"/>
      <c r="L68" s="1050"/>
      <c r="M68" s="1050"/>
      <c r="N68" s="1045"/>
      <c r="O68" s="1050"/>
      <c r="P68" s="1050"/>
      <c r="Q68" s="1050"/>
      <c r="R68" s="1050"/>
      <c r="S68" s="1049"/>
      <c r="T68" s="1050"/>
      <c r="U68" s="1050"/>
      <c r="V68" s="1050"/>
      <c r="W68" s="1049"/>
      <c r="X68" s="1050"/>
      <c r="Y68" s="1050"/>
      <c r="Z68" s="1050"/>
      <c r="AA68" s="1050"/>
      <c r="AB68" s="1046"/>
      <c r="AC68" s="1028"/>
      <c r="AD68" s="1046">
        <f t="shared" si="2"/>
        <v>0</v>
      </c>
      <c r="AE68" s="1028"/>
      <c r="AF68" s="1028"/>
      <c r="AG68" s="1028"/>
    </row>
    <row r="69" spans="1:33" s="1024" customFormat="1" hidden="1">
      <c r="A69" s="349"/>
      <c r="B69" s="349"/>
      <c r="C69" s="349"/>
      <c r="D69" s="349"/>
      <c r="E69" s="946"/>
      <c r="F69" s="947"/>
      <c r="G69" s="940">
        <f>G67+G68</f>
        <v>0</v>
      </c>
      <c r="H69" s="941">
        <f>H67+H68</f>
        <v>0</v>
      </c>
      <c r="I69" s="941">
        <f>I67+I68</f>
        <v>0</v>
      </c>
      <c r="J69" s="1049"/>
      <c r="K69" s="1049"/>
      <c r="L69" s="1049"/>
      <c r="M69" s="1049"/>
      <c r="N69" s="1045"/>
      <c r="O69" s="1049"/>
      <c r="P69" s="1049"/>
      <c r="Q69" s="1049"/>
      <c r="R69" s="1049"/>
      <c r="S69" s="1049"/>
      <c r="T69" s="1049"/>
      <c r="U69" s="1049"/>
      <c r="V69" s="1049"/>
      <c r="W69" s="1049"/>
      <c r="X69" s="1049"/>
      <c r="Y69" s="1049"/>
      <c r="Z69" s="1049"/>
      <c r="AA69" s="1049"/>
      <c r="AB69" s="1046"/>
      <c r="AC69" s="1028"/>
      <c r="AD69" s="1046">
        <f t="shared" si="2"/>
        <v>0</v>
      </c>
      <c r="AE69" s="1028"/>
      <c r="AF69" s="1028"/>
      <c r="AG69" s="1028"/>
    </row>
    <row r="70" spans="1:33" s="1048" customFormat="1" ht="36" hidden="1">
      <c r="A70" s="942" t="s">
        <v>1010</v>
      </c>
      <c r="B70" s="942"/>
      <c r="C70" s="942"/>
      <c r="D70" s="942"/>
      <c r="E70" s="943"/>
      <c r="F70" s="944"/>
      <c r="G70" s="945">
        <f>H70+I70</f>
        <v>0</v>
      </c>
      <c r="H70" s="945">
        <f>'[1]Аукцион '!L184</f>
        <v>0</v>
      </c>
      <c r="I70" s="945">
        <f>'[1]Аукцион '!K184</f>
        <v>0</v>
      </c>
      <c r="J70" s="1049"/>
      <c r="K70" s="1049"/>
      <c r="L70" s="1049"/>
      <c r="M70" s="1049"/>
      <c r="N70" s="1045"/>
      <c r="O70" s="1049"/>
      <c r="P70" s="1049"/>
      <c r="Q70" s="1049"/>
      <c r="R70" s="1049"/>
      <c r="S70" s="1049"/>
      <c r="T70" s="1049"/>
      <c r="U70" s="1049"/>
      <c r="V70" s="1049"/>
      <c r="W70" s="1049"/>
      <c r="X70" s="1049"/>
      <c r="Y70" s="1049"/>
      <c r="Z70" s="1049"/>
      <c r="AA70" s="1049"/>
      <c r="AB70" s="1046"/>
      <c r="AC70" s="1047"/>
      <c r="AD70" s="1046">
        <f t="shared" si="2"/>
        <v>0</v>
      </c>
      <c r="AE70" s="1047"/>
      <c r="AF70" s="1047"/>
      <c r="AG70" s="1047"/>
    </row>
    <row r="71" spans="1:33" s="1024" customFormat="1" hidden="1">
      <c r="A71" s="936" t="s">
        <v>990</v>
      </c>
      <c r="B71" s="937" t="s">
        <v>470</v>
      </c>
      <c r="C71" s="947">
        <f>'[1]Аукцион '!F184</f>
        <v>0</v>
      </c>
      <c r="D71" s="349"/>
      <c r="E71" s="946" t="e">
        <f>H71/C71</f>
        <v>#DIV/0!</v>
      </c>
      <c r="F71" s="947"/>
      <c r="G71" s="940">
        <f>H71+I71</f>
        <v>0</v>
      </c>
      <c r="H71" s="940">
        <f>'[1]Аукцион '!G184</f>
        <v>0</v>
      </c>
      <c r="I71" s="940">
        <v>0</v>
      </c>
      <c r="J71" s="1049"/>
      <c r="K71" s="1050"/>
      <c r="L71" s="1050"/>
      <c r="M71" s="1050"/>
      <c r="N71" s="1045"/>
      <c r="O71" s="1050"/>
      <c r="P71" s="1050"/>
      <c r="Q71" s="1050"/>
      <c r="R71" s="1050"/>
      <c r="S71" s="1049"/>
      <c r="T71" s="1050"/>
      <c r="U71" s="1050"/>
      <c r="V71" s="1050"/>
      <c r="W71" s="1049"/>
      <c r="X71" s="1050"/>
      <c r="Y71" s="1050"/>
      <c r="Z71" s="1050"/>
      <c r="AA71" s="1050"/>
      <c r="AB71" s="1046"/>
      <c r="AC71" s="1028"/>
      <c r="AD71" s="1046">
        <f t="shared" si="2"/>
        <v>0</v>
      </c>
      <c r="AE71" s="1028"/>
      <c r="AF71" s="1028"/>
      <c r="AG71" s="1028"/>
    </row>
    <row r="72" spans="1:33" s="1024" customFormat="1" ht="24" hidden="1">
      <c r="A72" s="936" t="s">
        <v>991</v>
      </c>
      <c r="B72" s="937" t="s">
        <v>470</v>
      </c>
      <c r="C72" s="947">
        <f>'[1]Аукцион '!Q184+'[1]Аукцион '!S184</f>
        <v>0</v>
      </c>
      <c r="D72" s="947">
        <f>'[1]Аукцион '!M184</f>
        <v>0</v>
      </c>
      <c r="E72" s="946" t="e">
        <f>H72/C72</f>
        <v>#DIV/0!</v>
      </c>
      <c r="F72" s="947" t="e">
        <f>I72/D72</f>
        <v>#DIV/0!</v>
      </c>
      <c r="G72" s="940">
        <f>H72+I72</f>
        <v>0</v>
      </c>
      <c r="H72" s="940">
        <f>'[1]Аукцион '!R184+'[1]Аукцион '!T184</f>
        <v>0</v>
      </c>
      <c r="I72" s="940">
        <f>'[1]Аукцион '!N184+'[1]Аукцион '!I184</f>
        <v>0</v>
      </c>
      <c r="J72" s="1049"/>
      <c r="K72" s="1050"/>
      <c r="L72" s="1050"/>
      <c r="M72" s="1050"/>
      <c r="N72" s="1045"/>
      <c r="O72" s="1050"/>
      <c r="P72" s="1050"/>
      <c r="Q72" s="1050"/>
      <c r="R72" s="1050"/>
      <c r="S72" s="1049"/>
      <c r="T72" s="1050"/>
      <c r="U72" s="1050"/>
      <c r="V72" s="1050"/>
      <c r="W72" s="1049"/>
      <c r="X72" s="1050"/>
      <c r="Y72" s="1050"/>
      <c r="Z72" s="1050"/>
      <c r="AA72" s="1050"/>
      <c r="AB72" s="1046"/>
      <c r="AC72" s="1051">
        <f>K72+L72+M72+O72+Y72+Z72+AA72</f>
        <v>0</v>
      </c>
      <c r="AD72" s="1046">
        <f t="shared" si="2"/>
        <v>0</v>
      </c>
      <c r="AE72" s="1028"/>
      <c r="AF72" s="1028"/>
      <c r="AG72" s="1028"/>
    </row>
    <row r="73" spans="1:33" s="1024" customFormat="1" hidden="1">
      <c r="A73" s="936" t="s">
        <v>994</v>
      </c>
      <c r="B73" s="349"/>
      <c r="C73" s="349"/>
      <c r="D73" s="349"/>
      <c r="E73" s="946"/>
      <c r="F73" s="947"/>
      <c r="G73" s="940"/>
      <c r="H73" s="940"/>
      <c r="I73" s="940"/>
      <c r="J73" s="1049"/>
      <c r="K73" s="1050"/>
      <c r="L73" s="1050"/>
      <c r="M73" s="1050"/>
      <c r="N73" s="1045"/>
      <c r="O73" s="1050"/>
      <c r="P73" s="1050"/>
      <c r="Q73" s="1050"/>
      <c r="R73" s="1050"/>
      <c r="S73" s="1049"/>
      <c r="T73" s="1050"/>
      <c r="U73" s="1050"/>
      <c r="V73" s="1050"/>
      <c r="W73" s="1049"/>
      <c r="X73" s="1050"/>
      <c r="Y73" s="1050"/>
      <c r="Z73" s="1050"/>
      <c r="AA73" s="1050"/>
      <c r="AB73" s="1046"/>
      <c r="AC73" s="1028"/>
      <c r="AD73" s="1046">
        <f t="shared" si="2"/>
        <v>0</v>
      </c>
      <c r="AE73" s="1028"/>
      <c r="AF73" s="1028"/>
      <c r="AG73" s="1028"/>
    </row>
    <row r="74" spans="1:33" s="1024" customFormat="1" hidden="1">
      <c r="A74" s="937" t="s">
        <v>996</v>
      </c>
      <c r="B74" s="937" t="s">
        <v>470</v>
      </c>
      <c r="C74" s="947">
        <f>'[1]Аукцион '!AL184</f>
        <v>0</v>
      </c>
      <c r="D74" s="349"/>
      <c r="E74" s="946" t="e">
        <f>H74/C74</f>
        <v>#DIV/0!</v>
      </c>
      <c r="F74" s="947"/>
      <c r="G74" s="940">
        <f>H74+I74</f>
        <v>0</v>
      </c>
      <c r="H74" s="940">
        <f>'[1]Аукцион '!AM184</f>
        <v>0</v>
      </c>
      <c r="I74" s="940">
        <v>0</v>
      </c>
      <c r="J74" s="1049"/>
      <c r="K74" s="1050"/>
      <c r="L74" s="1050"/>
      <c r="M74" s="1050"/>
      <c r="N74" s="1045"/>
      <c r="O74" s="1050"/>
      <c r="P74" s="1050"/>
      <c r="Q74" s="1050"/>
      <c r="R74" s="1050"/>
      <c r="S74" s="1049"/>
      <c r="T74" s="1050"/>
      <c r="U74" s="1050"/>
      <c r="V74" s="1050"/>
      <c r="W74" s="1049"/>
      <c r="X74" s="1050"/>
      <c r="Y74" s="1050"/>
      <c r="Z74" s="1050"/>
      <c r="AA74" s="1050"/>
      <c r="AB74" s="1046"/>
      <c r="AC74" s="1028"/>
      <c r="AD74" s="1046">
        <f t="shared" si="2"/>
        <v>0</v>
      </c>
      <c r="AE74" s="1028"/>
      <c r="AF74" s="1028"/>
      <c r="AG74" s="1028"/>
    </row>
    <row r="75" spans="1:33" s="1024" customFormat="1" ht="24" hidden="1">
      <c r="A75" s="937" t="s">
        <v>1011</v>
      </c>
      <c r="B75" s="937" t="s">
        <v>25</v>
      </c>
      <c r="C75" s="947">
        <v>1</v>
      </c>
      <c r="D75" s="349"/>
      <c r="E75" s="946">
        <f>H75/C75</f>
        <v>0</v>
      </c>
      <c r="F75" s="947"/>
      <c r="G75" s="940">
        <f>H75+I75</f>
        <v>0</v>
      </c>
      <c r="H75" s="940">
        <f>'[1]Аукцион '!AY184+'[1]Аукцион '!BA184+'[1]Аукцион '!BE184+'[1]Аукцион '!BG184</f>
        <v>0</v>
      </c>
      <c r="I75" s="940">
        <v>0</v>
      </c>
      <c r="J75" s="1049"/>
      <c r="K75" s="1050"/>
      <c r="L75" s="1050"/>
      <c r="M75" s="1050"/>
      <c r="N75" s="1045"/>
      <c r="O75" s="1050"/>
      <c r="P75" s="1050"/>
      <c r="Q75" s="1050"/>
      <c r="R75" s="1050"/>
      <c r="S75" s="1049"/>
      <c r="T75" s="1050"/>
      <c r="U75" s="1050"/>
      <c r="V75" s="1050"/>
      <c r="W75" s="1049"/>
      <c r="X75" s="1050"/>
      <c r="Y75" s="1050"/>
      <c r="Z75" s="1050"/>
      <c r="AA75" s="1050"/>
      <c r="AB75" s="1046"/>
      <c r="AC75" s="1028"/>
      <c r="AD75" s="1046">
        <f t="shared" si="2"/>
        <v>0</v>
      </c>
      <c r="AE75" s="1028"/>
      <c r="AF75" s="1028"/>
      <c r="AG75" s="1028"/>
    </row>
    <row r="76" spans="1:33" s="1024" customFormat="1" hidden="1">
      <c r="A76" s="936" t="s">
        <v>1005</v>
      </c>
      <c r="B76" s="937" t="s">
        <v>25</v>
      </c>
      <c r="C76" s="947">
        <f>'[1]Аукцион '!AN184</f>
        <v>0</v>
      </c>
      <c r="D76" s="349"/>
      <c r="E76" s="946" t="e">
        <f>H76/C76</f>
        <v>#DIV/0!</v>
      </c>
      <c r="F76" s="947"/>
      <c r="G76" s="940">
        <f>H76+I76</f>
        <v>0</v>
      </c>
      <c r="H76" s="940">
        <f>'[1]Аукцион '!AO184</f>
        <v>0</v>
      </c>
      <c r="I76" s="940">
        <v>0</v>
      </c>
      <c r="J76" s="1049"/>
      <c r="K76" s="1050"/>
      <c r="L76" s="1050"/>
      <c r="M76" s="1050"/>
      <c r="N76" s="1045"/>
      <c r="O76" s="1050"/>
      <c r="P76" s="1050"/>
      <c r="Q76" s="1050"/>
      <c r="R76" s="1050"/>
      <c r="S76" s="1049"/>
      <c r="T76" s="1050"/>
      <c r="U76" s="1050"/>
      <c r="V76" s="1050"/>
      <c r="W76" s="1049"/>
      <c r="X76" s="1050"/>
      <c r="Y76" s="1050"/>
      <c r="Z76" s="1050"/>
      <c r="AA76" s="1050"/>
      <c r="AB76" s="1046"/>
      <c r="AC76" s="1028"/>
      <c r="AD76" s="1046">
        <f t="shared" si="2"/>
        <v>0</v>
      </c>
      <c r="AE76" s="1028"/>
      <c r="AF76" s="1028"/>
      <c r="AG76" s="1028"/>
    </row>
    <row r="77" spans="1:33" s="1024" customFormat="1" ht="24" hidden="1">
      <c r="A77" s="936" t="s">
        <v>998</v>
      </c>
      <c r="B77" s="937" t="s">
        <v>999</v>
      </c>
      <c r="C77" s="947">
        <f>'[1]Аукцион '!AR184</f>
        <v>0</v>
      </c>
      <c r="D77" s="349"/>
      <c r="E77" s="946" t="e">
        <f>H77/C77</f>
        <v>#DIV/0!</v>
      </c>
      <c r="F77" s="947"/>
      <c r="G77" s="940">
        <f>H77+I77</f>
        <v>0</v>
      </c>
      <c r="H77" s="940">
        <f>'[1]Аукцион '!AS184</f>
        <v>0</v>
      </c>
      <c r="I77" s="940">
        <v>0</v>
      </c>
      <c r="J77" s="1049"/>
      <c r="K77" s="1050"/>
      <c r="L77" s="1050"/>
      <c r="M77" s="1050"/>
      <c r="N77" s="1045"/>
      <c r="O77" s="1050"/>
      <c r="P77" s="1050"/>
      <c r="Q77" s="1050"/>
      <c r="R77" s="1050"/>
      <c r="S77" s="1049"/>
      <c r="T77" s="1050"/>
      <c r="U77" s="1050"/>
      <c r="V77" s="1050"/>
      <c r="W77" s="1049"/>
      <c r="X77" s="1050"/>
      <c r="Y77" s="1050"/>
      <c r="Z77" s="1050"/>
      <c r="AA77" s="1050"/>
      <c r="AB77" s="1046"/>
      <c r="AC77" s="1028"/>
      <c r="AD77" s="1046">
        <f t="shared" si="2"/>
        <v>0</v>
      </c>
      <c r="AE77" s="1028"/>
      <c r="AF77" s="1028"/>
      <c r="AG77" s="1028"/>
    </row>
    <row r="78" spans="1:33" s="1024" customFormat="1" hidden="1">
      <c r="A78" s="349"/>
      <c r="B78" s="349"/>
      <c r="C78" s="349"/>
      <c r="D78" s="349"/>
      <c r="E78" s="946"/>
      <c r="F78" s="947"/>
      <c r="G78" s="940">
        <f>SUM(G71:G77)</f>
        <v>0</v>
      </c>
      <c r="H78" s="941">
        <f>H71+H72+H74+H75+H76+H77</f>
        <v>0</v>
      </c>
      <c r="I78" s="941">
        <f>I71+I72+I74+I75+I76+I77</f>
        <v>0</v>
      </c>
      <c r="J78" s="1049"/>
      <c r="K78" s="1049"/>
      <c r="L78" s="1049"/>
      <c r="M78" s="1049"/>
      <c r="N78" s="1045"/>
      <c r="O78" s="1049"/>
      <c r="P78" s="1049"/>
      <c r="Q78" s="1049"/>
      <c r="R78" s="1049"/>
      <c r="S78" s="1049"/>
      <c r="T78" s="1049"/>
      <c r="U78" s="1049"/>
      <c r="V78" s="1049"/>
      <c r="W78" s="1049"/>
      <c r="X78" s="1049"/>
      <c r="Y78" s="1049"/>
      <c r="Z78" s="1049"/>
      <c r="AA78" s="1049"/>
      <c r="AB78" s="1046"/>
      <c r="AC78" s="1028"/>
      <c r="AD78" s="1046">
        <f t="shared" si="2"/>
        <v>0</v>
      </c>
      <c r="AE78" s="1028"/>
      <c r="AF78" s="1028"/>
      <c r="AG78" s="1028"/>
    </row>
    <row r="79" spans="1:33" s="1047" customFormat="1" ht="60" hidden="1">
      <c r="A79" s="942" t="s">
        <v>1012</v>
      </c>
      <c r="B79" s="942"/>
      <c r="C79" s="942"/>
      <c r="D79" s="942"/>
      <c r="E79" s="943"/>
      <c r="F79" s="944"/>
      <c r="G79" s="945">
        <f>H79+I79</f>
        <v>0</v>
      </c>
      <c r="H79" s="945">
        <f>'[1]Аукцион '!L185</f>
        <v>0</v>
      </c>
      <c r="I79" s="945">
        <f>'[1]Аукцион '!K185</f>
        <v>0</v>
      </c>
      <c r="J79" s="1049"/>
      <c r="K79" s="1049"/>
      <c r="L79" s="1049"/>
      <c r="M79" s="1049"/>
      <c r="N79" s="1045"/>
      <c r="O79" s="1049"/>
      <c r="P79" s="1049"/>
      <c r="Q79" s="1049"/>
      <c r="R79" s="1049"/>
      <c r="S79" s="1049"/>
      <c r="T79" s="1049"/>
      <c r="U79" s="1049"/>
      <c r="V79" s="1049"/>
      <c r="W79" s="1049"/>
      <c r="X79" s="1049"/>
      <c r="Y79" s="1049"/>
      <c r="Z79" s="1049"/>
      <c r="AA79" s="1049"/>
      <c r="AB79" s="1046"/>
      <c r="AD79" s="1046">
        <f t="shared" si="2"/>
        <v>0</v>
      </c>
    </row>
    <row r="80" spans="1:33" s="1028" customFormat="1" hidden="1">
      <c r="A80" s="936" t="s">
        <v>990</v>
      </c>
      <c r="B80" s="937" t="s">
        <v>470</v>
      </c>
      <c r="C80" s="947">
        <f>'[1]Аукцион '!F185</f>
        <v>0</v>
      </c>
      <c r="D80" s="349"/>
      <c r="E80" s="946" t="e">
        <f>H80/C80</f>
        <v>#DIV/0!</v>
      </c>
      <c r="F80" s="947"/>
      <c r="G80" s="940">
        <f>H80+I80</f>
        <v>0</v>
      </c>
      <c r="H80" s="940">
        <f>'[1]Аукцион '!G185</f>
        <v>0</v>
      </c>
      <c r="I80" s="940">
        <v>0</v>
      </c>
      <c r="J80" s="1049"/>
      <c r="K80" s="1050"/>
      <c r="L80" s="1050"/>
      <c r="M80" s="1050"/>
      <c r="N80" s="1045"/>
      <c r="O80" s="1050"/>
      <c r="P80" s="1050"/>
      <c r="Q80" s="1050"/>
      <c r="R80" s="1050"/>
      <c r="S80" s="1049"/>
      <c r="T80" s="1050"/>
      <c r="U80" s="1050"/>
      <c r="V80" s="1050"/>
      <c r="W80" s="1049"/>
      <c r="X80" s="1050"/>
      <c r="Y80" s="1050"/>
      <c r="Z80" s="1050"/>
      <c r="AA80" s="1050"/>
      <c r="AB80" s="1046"/>
      <c r="AD80" s="1046">
        <f t="shared" si="2"/>
        <v>0</v>
      </c>
    </row>
    <row r="81" spans="1:33" s="1028" customFormat="1" hidden="1">
      <c r="A81" s="936" t="s">
        <v>992</v>
      </c>
      <c r="B81" s="937" t="s">
        <v>25</v>
      </c>
      <c r="C81" s="947">
        <f>'[1]Аукцион '!U185</f>
        <v>0</v>
      </c>
      <c r="D81" s="947">
        <f>'[1]Аукцион '!X185</f>
        <v>0</v>
      </c>
      <c r="E81" s="946" t="e">
        <f>H81/C81</f>
        <v>#DIV/0!</v>
      </c>
      <c r="F81" s="947" t="e">
        <f>I81/D81</f>
        <v>#DIV/0!</v>
      </c>
      <c r="G81" s="940">
        <f>H81+I81</f>
        <v>0</v>
      </c>
      <c r="H81" s="940">
        <f>'[1]Аукцион '!V185+'[1]Аукцион '!W185</f>
        <v>0</v>
      </c>
      <c r="I81" s="940">
        <f>'[1]Аукцион '!Y185</f>
        <v>0</v>
      </c>
      <c r="J81" s="1049"/>
      <c r="K81" s="1050"/>
      <c r="L81" s="1050"/>
      <c r="M81" s="1050"/>
      <c r="N81" s="1045"/>
      <c r="O81" s="1050"/>
      <c r="P81" s="1050"/>
      <c r="Q81" s="1050"/>
      <c r="R81" s="1050"/>
      <c r="S81" s="1049"/>
      <c r="T81" s="1050"/>
      <c r="U81" s="1050"/>
      <c r="V81" s="1050"/>
      <c r="W81" s="1049"/>
      <c r="X81" s="1050"/>
      <c r="Y81" s="1050"/>
      <c r="Z81" s="1050"/>
      <c r="AA81" s="1050"/>
      <c r="AB81" s="1046"/>
      <c r="AC81" s="1051">
        <f>K81+L81+M81+O81+Y81+Z81+AA81</f>
        <v>0</v>
      </c>
      <c r="AD81" s="1046">
        <f t="shared" si="2"/>
        <v>0</v>
      </c>
    </row>
    <row r="82" spans="1:33" s="1028" customFormat="1" hidden="1">
      <c r="A82" s="936" t="s">
        <v>1005</v>
      </c>
      <c r="B82" s="937" t="s">
        <v>25</v>
      </c>
      <c r="C82" s="947">
        <f>'[1]Аукцион '!AN185</f>
        <v>0</v>
      </c>
      <c r="D82" s="349"/>
      <c r="E82" s="946" t="e">
        <f>H82/C82</f>
        <v>#DIV/0!</v>
      </c>
      <c r="F82" s="947"/>
      <c r="G82" s="940">
        <f>H82+I82</f>
        <v>0</v>
      </c>
      <c r="H82" s="940">
        <f>'[1]Аукцион '!AO185</f>
        <v>0</v>
      </c>
      <c r="I82" s="940">
        <v>0</v>
      </c>
      <c r="J82" s="1049"/>
      <c r="K82" s="1050"/>
      <c r="L82" s="1050"/>
      <c r="M82" s="1050"/>
      <c r="N82" s="1045"/>
      <c r="O82" s="1050"/>
      <c r="P82" s="1050"/>
      <c r="Q82" s="1050"/>
      <c r="R82" s="1050"/>
      <c r="S82" s="1049"/>
      <c r="T82" s="1050"/>
      <c r="U82" s="1050"/>
      <c r="V82" s="1050"/>
      <c r="W82" s="1049"/>
      <c r="X82" s="1050"/>
      <c r="Y82" s="1050"/>
      <c r="Z82" s="1050"/>
      <c r="AA82" s="1050"/>
      <c r="AB82" s="1046"/>
      <c r="AD82" s="1046">
        <f t="shared" si="2"/>
        <v>0</v>
      </c>
    </row>
    <row r="83" spans="1:33" s="1028" customFormat="1" ht="24" hidden="1">
      <c r="A83" s="949" t="s">
        <v>998</v>
      </c>
      <c r="B83" s="937" t="s">
        <v>999</v>
      </c>
      <c r="C83" s="947">
        <f>'[1]Аукцион '!AR185</f>
        <v>0</v>
      </c>
      <c r="D83" s="349"/>
      <c r="E83" s="946" t="e">
        <f>G83/C83</f>
        <v>#DIV/0!</v>
      </c>
      <c r="F83" s="947"/>
      <c r="G83" s="940">
        <f>H83+I83</f>
        <v>0</v>
      </c>
      <c r="H83" s="940">
        <f>'[1]Аукцион '!AS185</f>
        <v>0</v>
      </c>
      <c r="I83" s="940">
        <v>0</v>
      </c>
      <c r="J83" s="1049"/>
      <c r="K83" s="1050"/>
      <c r="L83" s="1050"/>
      <c r="M83" s="1050"/>
      <c r="N83" s="1045"/>
      <c r="O83" s="1050"/>
      <c r="P83" s="1050"/>
      <c r="Q83" s="1050"/>
      <c r="R83" s="1050"/>
      <c r="S83" s="1049"/>
      <c r="T83" s="1050"/>
      <c r="U83" s="1050"/>
      <c r="V83" s="1050"/>
      <c r="W83" s="1049"/>
      <c r="X83" s="1050"/>
      <c r="Y83" s="1050"/>
      <c r="Z83" s="1050"/>
      <c r="AA83" s="1050"/>
      <c r="AB83" s="1046"/>
      <c r="AD83" s="1046">
        <f t="shared" si="2"/>
        <v>0</v>
      </c>
    </row>
    <row r="84" spans="1:33" s="1028" customFormat="1" hidden="1">
      <c r="A84" s="349"/>
      <c r="B84" s="349"/>
      <c r="C84" s="349"/>
      <c r="D84" s="349"/>
      <c r="E84" s="946"/>
      <c r="F84" s="947"/>
      <c r="G84" s="940">
        <f>G80+G81+G82+G83</f>
        <v>0</v>
      </c>
      <c r="H84" s="941">
        <f>H80+H81+H82+H83</f>
        <v>0</v>
      </c>
      <c r="I84" s="941">
        <f>I80+I81+I82+I83</f>
        <v>0</v>
      </c>
      <c r="J84" s="1049"/>
      <c r="K84" s="1049"/>
      <c r="L84" s="1049"/>
      <c r="M84" s="1049"/>
      <c r="N84" s="1045"/>
      <c r="O84" s="1049"/>
      <c r="P84" s="1049"/>
      <c r="Q84" s="1049"/>
      <c r="R84" s="1049"/>
      <c r="S84" s="1049"/>
      <c r="T84" s="1049"/>
      <c r="U84" s="1049"/>
      <c r="V84" s="1049"/>
      <c r="W84" s="1049"/>
      <c r="X84" s="1049"/>
      <c r="Y84" s="1049"/>
      <c r="Z84" s="1049"/>
      <c r="AA84" s="1049"/>
      <c r="AB84" s="1046"/>
      <c r="AD84" s="1046">
        <f t="shared" si="2"/>
        <v>0</v>
      </c>
    </row>
    <row r="85" spans="1:33" s="1048" customFormat="1" ht="48" hidden="1">
      <c r="A85" s="942" t="s">
        <v>1013</v>
      </c>
      <c r="B85" s="942"/>
      <c r="C85" s="942"/>
      <c r="D85" s="942"/>
      <c r="E85" s="943"/>
      <c r="F85" s="944"/>
      <c r="G85" s="945">
        <f>H85+I85</f>
        <v>0</v>
      </c>
      <c r="H85" s="945">
        <f>'[1]Аукцион '!L186</f>
        <v>0</v>
      </c>
      <c r="I85" s="945">
        <f>'[1]Аукцион '!K186</f>
        <v>0</v>
      </c>
      <c r="J85" s="1049"/>
      <c r="K85" s="1049"/>
      <c r="L85" s="1049"/>
      <c r="M85" s="1049"/>
      <c r="N85" s="1045"/>
      <c r="O85" s="1049"/>
      <c r="P85" s="1049"/>
      <c r="Q85" s="1049"/>
      <c r="R85" s="1049"/>
      <c r="S85" s="1049"/>
      <c r="T85" s="1049"/>
      <c r="U85" s="1049"/>
      <c r="V85" s="1049"/>
      <c r="W85" s="1049"/>
      <c r="X85" s="1049"/>
      <c r="Y85" s="1049"/>
      <c r="Z85" s="1049"/>
      <c r="AA85" s="1049"/>
      <c r="AB85" s="1046"/>
      <c r="AC85" s="1047"/>
      <c r="AD85" s="1046">
        <f t="shared" si="2"/>
        <v>0</v>
      </c>
      <c r="AE85" s="1047"/>
      <c r="AF85" s="1047"/>
      <c r="AG85" s="1047"/>
    </row>
    <row r="86" spans="1:33" s="1024" customFormat="1" hidden="1">
      <c r="A86" s="936" t="s">
        <v>990</v>
      </c>
      <c r="B86" s="937" t="s">
        <v>470</v>
      </c>
      <c r="C86" s="947">
        <f>'[1]Аукцион '!F186</f>
        <v>0</v>
      </c>
      <c r="D86" s="349"/>
      <c r="E86" s="946" t="e">
        <f>G86/C86</f>
        <v>#DIV/0!</v>
      </c>
      <c r="F86" s="947"/>
      <c r="G86" s="940">
        <f>H86+I86</f>
        <v>0</v>
      </c>
      <c r="H86" s="940">
        <f>'[1]Аукцион '!G186</f>
        <v>0</v>
      </c>
      <c r="I86" s="940">
        <v>0</v>
      </c>
      <c r="J86" s="1049"/>
      <c r="K86" s="1050"/>
      <c r="L86" s="1050"/>
      <c r="M86" s="1050"/>
      <c r="N86" s="1045"/>
      <c r="O86" s="1050"/>
      <c r="P86" s="1050"/>
      <c r="Q86" s="1050"/>
      <c r="R86" s="1050"/>
      <c r="S86" s="1049"/>
      <c r="T86" s="1050"/>
      <c r="U86" s="1050"/>
      <c r="V86" s="1050"/>
      <c r="W86" s="1049"/>
      <c r="X86" s="1050"/>
      <c r="Y86" s="1050"/>
      <c r="Z86" s="1050"/>
      <c r="AA86" s="1050"/>
      <c r="AB86" s="1046"/>
      <c r="AC86" s="1028"/>
      <c r="AD86" s="1046">
        <f t="shared" si="2"/>
        <v>0</v>
      </c>
      <c r="AE86" s="1028"/>
      <c r="AF86" s="1028"/>
      <c r="AG86" s="1028"/>
    </row>
    <row r="87" spans="1:33" s="1024" customFormat="1" hidden="1">
      <c r="A87" s="936" t="s">
        <v>994</v>
      </c>
      <c r="B87" s="937"/>
      <c r="C87" s="349"/>
      <c r="D87" s="349"/>
      <c r="E87" s="946"/>
      <c r="F87" s="947"/>
      <c r="G87" s="940"/>
      <c r="H87" s="940"/>
      <c r="I87" s="940"/>
      <c r="J87" s="1049"/>
      <c r="K87" s="1050"/>
      <c r="L87" s="1050"/>
      <c r="M87" s="1050"/>
      <c r="N87" s="1045"/>
      <c r="O87" s="1050"/>
      <c r="P87" s="1050"/>
      <c r="Q87" s="1050"/>
      <c r="R87" s="1050"/>
      <c r="S87" s="1049"/>
      <c r="T87" s="1050"/>
      <c r="U87" s="1050"/>
      <c r="V87" s="1050"/>
      <c r="W87" s="1049"/>
      <c r="X87" s="1050"/>
      <c r="Y87" s="1050"/>
      <c r="Z87" s="1050"/>
      <c r="AA87" s="1050"/>
      <c r="AB87" s="1046"/>
      <c r="AC87" s="1028"/>
      <c r="AD87" s="1046">
        <f t="shared" si="2"/>
        <v>0</v>
      </c>
      <c r="AE87" s="1028"/>
      <c r="AF87" s="1028"/>
      <c r="AG87" s="1028"/>
    </row>
    <row r="88" spans="1:33" s="1024" customFormat="1" hidden="1">
      <c r="A88" s="937" t="s">
        <v>995</v>
      </c>
      <c r="B88" s="937" t="s">
        <v>470</v>
      </c>
      <c r="C88" s="947">
        <f>'[1]Аукцион '!AD186</f>
        <v>0</v>
      </c>
      <c r="D88" s="349"/>
      <c r="E88" s="946" t="e">
        <f>G88/C88</f>
        <v>#DIV/0!</v>
      </c>
      <c r="F88" s="947"/>
      <c r="G88" s="940">
        <f>H88+I88</f>
        <v>0</v>
      </c>
      <c r="H88" s="940">
        <f>'[1]Аукцион '!AE186+'[1]Аукцион '!AK186</f>
        <v>0</v>
      </c>
      <c r="I88" s="940">
        <v>0</v>
      </c>
      <c r="J88" s="1049"/>
      <c r="K88" s="1050"/>
      <c r="L88" s="1050"/>
      <c r="M88" s="1050"/>
      <c r="N88" s="1045"/>
      <c r="O88" s="1050"/>
      <c r="P88" s="1050"/>
      <c r="Q88" s="1050"/>
      <c r="R88" s="1050"/>
      <c r="S88" s="1049"/>
      <c r="T88" s="1050"/>
      <c r="U88" s="1050"/>
      <c r="V88" s="1050"/>
      <c r="W88" s="1049"/>
      <c r="X88" s="1050"/>
      <c r="Y88" s="1050"/>
      <c r="Z88" s="1050"/>
      <c r="AA88" s="1050"/>
      <c r="AB88" s="1046"/>
      <c r="AC88" s="1028"/>
      <c r="AD88" s="1046">
        <f t="shared" si="2"/>
        <v>0</v>
      </c>
      <c r="AE88" s="1028"/>
      <c r="AF88" s="1028"/>
      <c r="AG88" s="1028"/>
    </row>
    <row r="89" spans="1:33" s="1024" customFormat="1" hidden="1">
      <c r="A89" s="937" t="s">
        <v>996</v>
      </c>
      <c r="B89" s="937" t="s">
        <v>470</v>
      </c>
      <c r="C89" s="947">
        <f>'[1]Аукцион '!AL186</f>
        <v>0</v>
      </c>
      <c r="D89" s="349"/>
      <c r="E89" s="946" t="e">
        <f>G89/C89</f>
        <v>#DIV/0!</v>
      </c>
      <c r="F89" s="947"/>
      <c r="G89" s="940">
        <f>H89+I89</f>
        <v>0</v>
      </c>
      <c r="H89" s="940">
        <f>'[1]Аукцион '!AG186+'[1]Аукцион '!AM186</f>
        <v>0</v>
      </c>
      <c r="I89" s="940">
        <v>0</v>
      </c>
      <c r="J89" s="1049"/>
      <c r="K89" s="1050"/>
      <c r="L89" s="1050"/>
      <c r="M89" s="1050"/>
      <c r="N89" s="1045"/>
      <c r="O89" s="1050"/>
      <c r="P89" s="1050"/>
      <c r="Q89" s="1050"/>
      <c r="R89" s="1050"/>
      <c r="S89" s="1049"/>
      <c r="T89" s="1050"/>
      <c r="U89" s="1050"/>
      <c r="V89" s="1050"/>
      <c r="W89" s="1049"/>
      <c r="X89" s="1050"/>
      <c r="Y89" s="1050"/>
      <c r="Z89" s="1050"/>
      <c r="AA89" s="1050"/>
      <c r="AB89" s="1046"/>
      <c r="AC89" s="1028"/>
      <c r="AD89" s="1046">
        <f t="shared" si="2"/>
        <v>0</v>
      </c>
      <c r="AE89" s="1028"/>
      <c r="AF89" s="1028"/>
      <c r="AG89" s="1028"/>
    </row>
    <row r="90" spans="1:33" s="1024" customFormat="1" ht="24" hidden="1">
      <c r="A90" s="937" t="s">
        <v>1014</v>
      </c>
      <c r="B90" s="937" t="s">
        <v>25</v>
      </c>
      <c r="C90" s="947">
        <v>18</v>
      </c>
      <c r="D90" s="349"/>
      <c r="E90" s="946">
        <f>G90/C90</f>
        <v>0</v>
      </c>
      <c r="F90" s="947"/>
      <c r="G90" s="940">
        <f>H90+I90</f>
        <v>0</v>
      </c>
      <c r="H90" s="940">
        <f>'[1]Аукцион '!AY186+'[1]Аукцион '!BA186+'[1]Аукцион '!BE186+'[1]Аукцион '!BG186</f>
        <v>0</v>
      </c>
      <c r="I90" s="940">
        <v>0</v>
      </c>
      <c r="J90" s="1049"/>
      <c r="K90" s="1050"/>
      <c r="L90" s="1050"/>
      <c r="M90" s="1050"/>
      <c r="N90" s="1045"/>
      <c r="O90" s="1050"/>
      <c r="P90" s="1050"/>
      <c r="Q90" s="1050"/>
      <c r="R90" s="1050"/>
      <c r="S90" s="1049"/>
      <c r="T90" s="1050"/>
      <c r="U90" s="1050"/>
      <c r="V90" s="1050"/>
      <c r="W90" s="1049"/>
      <c r="X90" s="1050"/>
      <c r="Y90" s="1050"/>
      <c r="Z90" s="1050"/>
      <c r="AA90" s="1050"/>
      <c r="AB90" s="1046"/>
      <c r="AC90" s="1028"/>
      <c r="AD90" s="1046">
        <f t="shared" si="2"/>
        <v>0</v>
      </c>
      <c r="AE90" s="1028"/>
      <c r="AF90" s="1028"/>
      <c r="AG90" s="1028"/>
    </row>
    <row r="91" spans="1:33" s="1024" customFormat="1" ht="24" hidden="1">
      <c r="A91" s="936" t="s">
        <v>998</v>
      </c>
      <c r="B91" s="937" t="s">
        <v>999</v>
      </c>
      <c r="C91" s="947">
        <f>'[1]Аукцион '!AR186</f>
        <v>0</v>
      </c>
      <c r="D91" s="349"/>
      <c r="E91" s="946" t="e">
        <f>G91/C91</f>
        <v>#DIV/0!</v>
      </c>
      <c r="F91" s="947"/>
      <c r="G91" s="940">
        <f>H91+I91</f>
        <v>0</v>
      </c>
      <c r="H91" s="940">
        <f>'[1]Аукцион '!AS186</f>
        <v>0</v>
      </c>
      <c r="I91" s="940">
        <v>0</v>
      </c>
      <c r="J91" s="1049"/>
      <c r="K91" s="1050"/>
      <c r="L91" s="1050"/>
      <c r="M91" s="1050"/>
      <c r="N91" s="1045"/>
      <c r="O91" s="1050"/>
      <c r="P91" s="1050"/>
      <c r="Q91" s="1050"/>
      <c r="R91" s="1050"/>
      <c r="S91" s="1049"/>
      <c r="T91" s="1050"/>
      <c r="U91" s="1050"/>
      <c r="V91" s="1050"/>
      <c r="W91" s="1049"/>
      <c r="X91" s="1050"/>
      <c r="Y91" s="1050"/>
      <c r="Z91" s="1050"/>
      <c r="AA91" s="1050"/>
      <c r="AB91" s="1046"/>
      <c r="AC91" s="1028"/>
      <c r="AD91" s="1046">
        <f t="shared" si="2"/>
        <v>0</v>
      </c>
      <c r="AE91" s="1028"/>
      <c r="AF91" s="1028"/>
      <c r="AG91" s="1028"/>
    </row>
    <row r="92" spans="1:33" s="1024" customFormat="1" hidden="1">
      <c r="A92" s="349"/>
      <c r="B92" s="349"/>
      <c r="C92" s="349"/>
      <c r="D92" s="349"/>
      <c r="E92" s="946"/>
      <c r="F92" s="947"/>
      <c r="G92" s="940">
        <f>SUM(G86:G91)</f>
        <v>0</v>
      </c>
      <c r="H92" s="941">
        <f>H86+H88+H89+H90+H91</f>
        <v>0</v>
      </c>
      <c r="I92" s="941">
        <f>I85+I86+I88+I89+I90+I91</f>
        <v>0</v>
      </c>
      <c r="J92" s="1049"/>
      <c r="K92" s="1049"/>
      <c r="L92" s="1049"/>
      <c r="M92" s="1049"/>
      <c r="N92" s="1045"/>
      <c r="O92" s="1049"/>
      <c r="P92" s="1049"/>
      <c r="Q92" s="1049"/>
      <c r="R92" s="1049"/>
      <c r="S92" s="1049"/>
      <c r="T92" s="1049"/>
      <c r="U92" s="1049"/>
      <c r="V92" s="1049"/>
      <c r="W92" s="1049"/>
      <c r="X92" s="1049"/>
      <c r="Y92" s="1049"/>
      <c r="Z92" s="1049"/>
      <c r="AA92" s="1049"/>
      <c r="AB92" s="1046"/>
      <c r="AC92" s="1028"/>
      <c r="AD92" s="1046">
        <f t="shared" si="2"/>
        <v>0</v>
      </c>
      <c r="AE92" s="1028"/>
      <c r="AF92" s="1028"/>
      <c r="AG92" s="1028"/>
    </row>
    <row r="93" spans="1:33" s="1047" customFormat="1" ht="48" hidden="1">
      <c r="A93" s="942" t="s">
        <v>1015</v>
      </c>
      <c r="B93" s="942"/>
      <c r="C93" s="942"/>
      <c r="D93" s="942"/>
      <c r="E93" s="943"/>
      <c r="F93" s="944"/>
      <c r="G93" s="945">
        <f>H93+I93</f>
        <v>0</v>
      </c>
      <c r="H93" s="945">
        <f>'[1]Аукцион '!L187</f>
        <v>0</v>
      </c>
      <c r="I93" s="945">
        <f>'[1]Аукцион '!K187</f>
        <v>0</v>
      </c>
      <c r="J93" s="1049"/>
      <c r="K93" s="1049"/>
      <c r="L93" s="1049"/>
      <c r="M93" s="1049"/>
      <c r="N93" s="1045"/>
      <c r="O93" s="1049"/>
      <c r="P93" s="1049"/>
      <c r="Q93" s="1049"/>
      <c r="R93" s="1049"/>
      <c r="S93" s="1049"/>
      <c r="T93" s="1049"/>
      <c r="U93" s="1049"/>
      <c r="V93" s="1049"/>
      <c r="W93" s="1049"/>
      <c r="X93" s="1049"/>
      <c r="Y93" s="1049"/>
      <c r="Z93" s="1049"/>
      <c r="AA93" s="1049"/>
      <c r="AB93" s="1046"/>
      <c r="AD93" s="1046">
        <f t="shared" si="2"/>
        <v>0</v>
      </c>
    </row>
    <row r="94" spans="1:33" s="1028" customFormat="1" hidden="1">
      <c r="A94" s="936" t="s">
        <v>990</v>
      </c>
      <c r="B94" s="937" t="s">
        <v>470</v>
      </c>
      <c r="C94" s="947">
        <f>'[1]Аукцион '!F187</f>
        <v>0</v>
      </c>
      <c r="D94" s="349"/>
      <c r="E94" s="946" t="e">
        <f>H94/C94</f>
        <v>#DIV/0!</v>
      </c>
      <c r="F94" s="947"/>
      <c r="G94" s="940">
        <f>H94+I94</f>
        <v>0</v>
      </c>
      <c r="H94" s="940">
        <f>'[1]Аукцион '!G187</f>
        <v>0</v>
      </c>
      <c r="I94" s="940">
        <v>0</v>
      </c>
      <c r="J94" s="1049"/>
      <c r="K94" s="1050"/>
      <c r="L94" s="1050"/>
      <c r="M94" s="1050"/>
      <c r="N94" s="1045"/>
      <c r="O94" s="1050"/>
      <c r="P94" s="1050"/>
      <c r="Q94" s="1050"/>
      <c r="R94" s="1050"/>
      <c r="S94" s="1049"/>
      <c r="T94" s="1050"/>
      <c r="U94" s="1050"/>
      <c r="V94" s="1050"/>
      <c r="W94" s="1049"/>
      <c r="X94" s="1050"/>
      <c r="Y94" s="1050"/>
      <c r="Z94" s="1050"/>
      <c r="AA94" s="1050"/>
      <c r="AB94" s="1046"/>
      <c r="AD94" s="1046">
        <f t="shared" si="2"/>
        <v>0</v>
      </c>
    </row>
    <row r="95" spans="1:33" s="1028" customFormat="1" ht="24" hidden="1">
      <c r="A95" s="936" t="s">
        <v>1008</v>
      </c>
      <c r="B95" s="937" t="s">
        <v>999</v>
      </c>
      <c r="C95" s="947">
        <f>'[1]Аукцион '!AP187</f>
        <v>0</v>
      </c>
      <c r="D95" s="349"/>
      <c r="E95" s="946" t="e">
        <f>H95/C95</f>
        <v>#DIV/0!</v>
      </c>
      <c r="F95" s="947"/>
      <c r="G95" s="940">
        <f>H95+I95</f>
        <v>0</v>
      </c>
      <c r="H95" s="940">
        <f>'[1]Аукцион '!AQ187</f>
        <v>0</v>
      </c>
      <c r="I95" s="940">
        <v>0</v>
      </c>
      <c r="J95" s="1049"/>
      <c r="K95" s="1050"/>
      <c r="L95" s="1050"/>
      <c r="M95" s="1050"/>
      <c r="N95" s="1045"/>
      <c r="O95" s="1050"/>
      <c r="P95" s="1050"/>
      <c r="Q95" s="1050"/>
      <c r="R95" s="1050"/>
      <c r="S95" s="1049"/>
      <c r="T95" s="1050"/>
      <c r="U95" s="1050"/>
      <c r="V95" s="1050"/>
      <c r="W95" s="1049"/>
      <c r="X95" s="1050"/>
      <c r="Y95" s="1050"/>
      <c r="Z95" s="1050"/>
      <c r="AA95" s="1050"/>
      <c r="AB95" s="1046"/>
      <c r="AD95" s="1046">
        <f t="shared" si="2"/>
        <v>0</v>
      </c>
    </row>
    <row r="96" spans="1:33" s="1028" customFormat="1" hidden="1">
      <c r="A96" s="936" t="s">
        <v>1006</v>
      </c>
      <c r="B96" s="937" t="s">
        <v>21</v>
      </c>
      <c r="C96" s="947">
        <v>36</v>
      </c>
      <c r="D96" s="349"/>
      <c r="E96" s="946">
        <f>G96/C96</f>
        <v>0</v>
      </c>
      <c r="F96" s="947"/>
      <c r="G96" s="940">
        <f>H96</f>
        <v>0</v>
      </c>
      <c r="H96" s="940">
        <f>'[1]Аукцион '!AW187</f>
        <v>0</v>
      </c>
      <c r="I96" s="940">
        <v>0</v>
      </c>
      <c r="J96" s="1049"/>
      <c r="K96" s="1050"/>
      <c r="L96" s="1050"/>
      <c r="M96" s="1050"/>
      <c r="N96" s="1045"/>
      <c r="O96" s="1050"/>
      <c r="P96" s="1050"/>
      <c r="Q96" s="1050"/>
      <c r="R96" s="1050"/>
      <c r="S96" s="1049"/>
      <c r="T96" s="1050"/>
      <c r="U96" s="1050"/>
      <c r="V96" s="1050"/>
      <c r="W96" s="1049"/>
      <c r="X96" s="1050"/>
      <c r="Y96" s="1050"/>
      <c r="Z96" s="1050"/>
      <c r="AA96" s="1050"/>
      <c r="AB96" s="1046"/>
      <c r="AD96" s="1046">
        <f t="shared" si="2"/>
        <v>0</v>
      </c>
    </row>
    <row r="97" spans="1:30" s="1028" customFormat="1" hidden="1">
      <c r="A97" s="950" t="s">
        <v>1005</v>
      </c>
      <c r="B97" s="948" t="s">
        <v>21</v>
      </c>
      <c r="C97" s="349">
        <v>119</v>
      </c>
      <c r="D97" s="349"/>
      <c r="E97" s="946">
        <f>G97/C97</f>
        <v>0</v>
      </c>
      <c r="F97" s="947"/>
      <c r="G97" s="940">
        <f>H97</f>
        <v>0</v>
      </c>
      <c r="H97" s="940">
        <f>'[1]Аукцион '!AO187</f>
        <v>0</v>
      </c>
      <c r="I97" s="940">
        <v>0</v>
      </c>
      <c r="J97" s="1049"/>
      <c r="K97" s="1050"/>
      <c r="L97" s="1050"/>
      <c r="M97" s="1050"/>
      <c r="N97" s="1045"/>
      <c r="O97" s="1050"/>
      <c r="P97" s="1050"/>
      <c r="Q97" s="1050"/>
      <c r="R97" s="1050"/>
      <c r="S97" s="1049"/>
      <c r="T97" s="1050"/>
      <c r="U97" s="1050"/>
      <c r="V97" s="1050"/>
      <c r="W97" s="1049"/>
      <c r="X97" s="1050"/>
      <c r="Y97" s="1050"/>
      <c r="Z97" s="1050"/>
      <c r="AA97" s="1050"/>
      <c r="AB97" s="1046"/>
      <c r="AD97" s="1046">
        <f t="shared" si="2"/>
        <v>0</v>
      </c>
    </row>
    <row r="98" spans="1:30" s="1028" customFormat="1" hidden="1">
      <c r="A98" s="950"/>
      <c r="B98" s="349"/>
      <c r="C98" s="349"/>
      <c r="D98" s="349"/>
      <c r="E98" s="946"/>
      <c r="F98" s="947"/>
      <c r="G98" s="940">
        <f>H98+I98</f>
        <v>0</v>
      </c>
      <c r="H98" s="941">
        <f>H94+H95+H96+H97</f>
        <v>0</v>
      </c>
      <c r="I98" s="941">
        <f>I94+I95</f>
        <v>0</v>
      </c>
      <c r="J98" s="1049"/>
      <c r="K98" s="1049"/>
      <c r="L98" s="1049"/>
      <c r="M98" s="1049"/>
      <c r="N98" s="1045"/>
      <c r="O98" s="1049"/>
      <c r="P98" s="1049"/>
      <c r="Q98" s="1049"/>
      <c r="R98" s="1049"/>
      <c r="S98" s="1049"/>
      <c r="T98" s="1049"/>
      <c r="U98" s="1049"/>
      <c r="V98" s="1049"/>
      <c r="W98" s="1049"/>
      <c r="X98" s="1049"/>
      <c r="Y98" s="1049"/>
      <c r="Z98" s="1049"/>
      <c r="AA98" s="1049"/>
      <c r="AB98" s="1046"/>
      <c r="AD98" s="1046">
        <f t="shared" si="2"/>
        <v>0</v>
      </c>
    </row>
    <row r="99" spans="1:30" s="1047" customFormat="1" ht="24" hidden="1">
      <c r="A99" s="942" t="s">
        <v>1016</v>
      </c>
      <c r="B99" s="942"/>
      <c r="C99" s="942"/>
      <c r="D99" s="942"/>
      <c r="E99" s="943"/>
      <c r="F99" s="944"/>
      <c r="G99" s="945">
        <f>H99+I99</f>
        <v>0</v>
      </c>
      <c r="H99" s="945">
        <f>'[1]Аукцион '!L188</f>
        <v>0</v>
      </c>
      <c r="I99" s="945">
        <f>'[1]Аукцион '!K188</f>
        <v>0</v>
      </c>
      <c r="J99" s="1049"/>
      <c r="K99" s="1049"/>
      <c r="L99" s="1049"/>
      <c r="M99" s="1049"/>
      <c r="N99" s="1045"/>
      <c r="O99" s="1049"/>
      <c r="P99" s="1049"/>
      <c r="Q99" s="1049"/>
      <c r="R99" s="1049"/>
      <c r="S99" s="1049"/>
      <c r="T99" s="1049"/>
      <c r="U99" s="1049"/>
      <c r="V99" s="1049"/>
      <c r="W99" s="1049"/>
      <c r="X99" s="1049"/>
      <c r="Y99" s="1049"/>
      <c r="Z99" s="1049"/>
      <c r="AA99" s="1049"/>
      <c r="AB99" s="1046"/>
      <c r="AD99" s="1046">
        <f t="shared" si="2"/>
        <v>0</v>
      </c>
    </row>
    <row r="100" spans="1:30" s="1028" customFormat="1" hidden="1">
      <c r="A100" s="936" t="s">
        <v>990</v>
      </c>
      <c r="B100" s="937" t="s">
        <v>470</v>
      </c>
      <c r="C100" s="947">
        <f>'[1]Аукцион '!D188+'[1]Аукцион '!F188</f>
        <v>0</v>
      </c>
      <c r="D100" s="349"/>
      <c r="E100" s="946" t="e">
        <f>H100/C100</f>
        <v>#DIV/0!</v>
      </c>
      <c r="F100" s="947"/>
      <c r="G100" s="940">
        <f>H100+I100</f>
        <v>0</v>
      </c>
      <c r="H100" s="940">
        <f>'[1]Аукцион '!E188+'[1]Аукцион '!G188</f>
        <v>0</v>
      </c>
      <c r="I100" s="940">
        <v>0</v>
      </c>
      <c r="J100" s="1049"/>
      <c r="K100" s="1050"/>
      <c r="L100" s="1050"/>
      <c r="M100" s="1050"/>
      <c r="N100" s="1045"/>
      <c r="O100" s="1050"/>
      <c r="P100" s="1050"/>
      <c r="Q100" s="1050"/>
      <c r="R100" s="1050"/>
      <c r="S100" s="1049"/>
      <c r="T100" s="1050"/>
      <c r="U100" s="1050"/>
      <c r="V100" s="1050"/>
      <c r="W100" s="1049"/>
      <c r="X100" s="1050"/>
      <c r="Y100" s="1050"/>
      <c r="Z100" s="1050"/>
      <c r="AA100" s="1050"/>
      <c r="AB100" s="1046"/>
      <c r="AD100" s="1046">
        <f t="shared" si="2"/>
        <v>0</v>
      </c>
    </row>
    <row r="101" spans="1:30" s="1028" customFormat="1" ht="24" hidden="1">
      <c r="A101" s="936" t="s">
        <v>991</v>
      </c>
      <c r="B101" s="937" t="s">
        <v>470</v>
      </c>
      <c r="C101" s="947">
        <f>'[1]Аукцион '!Q188+'[1]Аукцион '!S188</f>
        <v>0</v>
      </c>
      <c r="D101" s="349"/>
      <c r="E101" s="946" t="e">
        <f>H101/C101</f>
        <v>#DIV/0!</v>
      </c>
      <c r="F101" s="947"/>
      <c r="G101" s="940">
        <f>H101+I101</f>
        <v>0</v>
      </c>
      <c r="H101" s="940">
        <f>'[1]Аукцион '!R188+'[1]Аукцион '!T188</f>
        <v>0</v>
      </c>
      <c r="I101" s="940">
        <v>0</v>
      </c>
      <c r="J101" s="1049"/>
      <c r="K101" s="1050"/>
      <c r="L101" s="1050"/>
      <c r="M101" s="1050"/>
      <c r="N101" s="1045"/>
      <c r="O101" s="1050"/>
      <c r="P101" s="1050"/>
      <c r="Q101" s="1050"/>
      <c r="R101" s="1050"/>
      <c r="S101" s="1049"/>
      <c r="T101" s="1050"/>
      <c r="U101" s="1050"/>
      <c r="V101" s="1050"/>
      <c r="W101" s="1049"/>
      <c r="X101" s="1050"/>
      <c r="Y101" s="1050"/>
      <c r="Z101" s="1050"/>
      <c r="AA101" s="1050"/>
      <c r="AB101" s="1046"/>
      <c r="AD101" s="1046">
        <f t="shared" si="2"/>
        <v>0</v>
      </c>
    </row>
    <row r="102" spans="1:30" s="1028" customFormat="1" hidden="1">
      <c r="A102" s="936" t="s">
        <v>992</v>
      </c>
      <c r="B102" s="937" t="s">
        <v>25</v>
      </c>
      <c r="C102" s="947">
        <f>'[1]Аукцион '!U188</f>
        <v>0</v>
      </c>
      <c r="D102" s="947">
        <f>'[1]Аукцион '!X188</f>
        <v>0</v>
      </c>
      <c r="E102" s="946" t="e">
        <f>H102/C102</f>
        <v>#DIV/0!</v>
      </c>
      <c r="F102" s="947" t="e">
        <f>I102/D102</f>
        <v>#DIV/0!</v>
      </c>
      <c r="G102" s="940">
        <f>H102+I102</f>
        <v>0</v>
      </c>
      <c r="H102" s="940">
        <f>'[1]Аукцион '!V188+'[1]Аукцион '!W188</f>
        <v>0</v>
      </c>
      <c r="I102" s="940">
        <f>'[1]Аукцион '!Y188</f>
        <v>0</v>
      </c>
      <c r="J102" s="1049"/>
      <c r="K102" s="1050"/>
      <c r="L102" s="1050"/>
      <c r="M102" s="1050"/>
      <c r="N102" s="1045"/>
      <c r="O102" s="1050"/>
      <c r="P102" s="1050"/>
      <c r="Q102" s="1050"/>
      <c r="R102" s="1050"/>
      <c r="S102" s="1049"/>
      <c r="T102" s="1050"/>
      <c r="U102" s="1050"/>
      <c r="V102" s="1050"/>
      <c r="W102" s="1049"/>
      <c r="X102" s="1050"/>
      <c r="Y102" s="1050"/>
      <c r="Z102" s="1050"/>
      <c r="AA102" s="1050"/>
      <c r="AB102" s="1046"/>
      <c r="AC102" s="1051">
        <f>K102+L102+M102+O102+Y102+Z102+AA102</f>
        <v>0</v>
      </c>
      <c r="AD102" s="1046">
        <f t="shared" si="2"/>
        <v>0</v>
      </c>
    </row>
    <row r="103" spans="1:30" s="1028" customFormat="1" hidden="1">
      <c r="A103" s="936" t="s">
        <v>994</v>
      </c>
      <c r="B103" s="937"/>
      <c r="C103" s="349"/>
      <c r="D103" s="349"/>
      <c r="E103" s="946"/>
      <c r="F103" s="947"/>
      <c r="G103" s="940"/>
      <c r="H103" s="940"/>
      <c r="I103" s="940"/>
      <c r="J103" s="1050"/>
      <c r="K103" s="1050"/>
      <c r="L103" s="1050"/>
      <c r="M103" s="1050"/>
      <c r="N103" s="1045"/>
      <c r="O103" s="1050"/>
      <c r="P103" s="1050"/>
      <c r="Q103" s="1050"/>
      <c r="R103" s="1050"/>
      <c r="S103" s="1049"/>
      <c r="T103" s="1050"/>
      <c r="U103" s="1050"/>
      <c r="V103" s="1050"/>
      <c r="W103" s="1049"/>
      <c r="X103" s="1050"/>
      <c r="Y103" s="1050"/>
      <c r="Z103" s="1050"/>
      <c r="AA103" s="1050"/>
      <c r="AB103" s="1046"/>
      <c r="AD103" s="1046">
        <f t="shared" si="2"/>
        <v>0</v>
      </c>
    </row>
    <row r="104" spans="1:30" s="1028" customFormat="1" hidden="1">
      <c r="A104" s="937" t="s">
        <v>995</v>
      </c>
      <c r="B104" s="937" t="s">
        <v>470</v>
      </c>
      <c r="C104" s="947">
        <f>'[1]Аукцион '!AJ188</f>
        <v>0</v>
      </c>
      <c r="D104" s="349"/>
      <c r="E104" s="946" t="e">
        <f>H104/C104</f>
        <v>#DIV/0!</v>
      </c>
      <c r="F104" s="947"/>
      <c r="G104" s="940">
        <f t="shared" ref="G104:G106" si="3">H104+I104</f>
        <v>0</v>
      </c>
      <c r="H104" s="940">
        <f>'[1]Аукцион '!AK188+'[1]Аукцион '!AE188</f>
        <v>0</v>
      </c>
      <c r="I104" s="940">
        <v>0</v>
      </c>
      <c r="J104" s="1049"/>
      <c r="K104" s="1050"/>
      <c r="L104" s="1050"/>
      <c r="M104" s="1050"/>
      <c r="N104" s="1045"/>
      <c r="O104" s="1050"/>
      <c r="P104" s="1050"/>
      <c r="Q104" s="1050"/>
      <c r="R104" s="1050"/>
      <c r="S104" s="1049"/>
      <c r="T104" s="1050"/>
      <c r="U104" s="1050"/>
      <c r="V104" s="1050"/>
      <c r="W104" s="1049"/>
      <c r="X104" s="1050"/>
      <c r="Y104" s="1050"/>
      <c r="Z104" s="1050"/>
      <c r="AA104" s="1050"/>
      <c r="AB104" s="1046"/>
      <c r="AD104" s="1046">
        <f t="shared" si="2"/>
        <v>0</v>
      </c>
    </row>
    <row r="105" spans="1:30" s="1028" customFormat="1" hidden="1">
      <c r="A105" s="936" t="s">
        <v>1005</v>
      </c>
      <c r="B105" s="937" t="s">
        <v>25</v>
      </c>
      <c r="C105" s="947">
        <f>'[1]Аукцион '!AN188</f>
        <v>0</v>
      </c>
      <c r="D105" s="349"/>
      <c r="E105" s="946" t="e">
        <f>H105/C105</f>
        <v>#DIV/0!</v>
      </c>
      <c r="F105" s="947"/>
      <c r="G105" s="940">
        <f t="shared" si="3"/>
        <v>0</v>
      </c>
      <c r="H105" s="940">
        <f>'[1]Аукцион '!AO188</f>
        <v>0</v>
      </c>
      <c r="I105" s="940">
        <v>0</v>
      </c>
      <c r="J105" s="1049"/>
      <c r="K105" s="1050"/>
      <c r="L105" s="1050"/>
      <c r="M105" s="1050"/>
      <c r="N105" s="1045"/>
      <c r="O105" s="1050"/>
      <c r="P105" s="1050"/>
      <c r="Q105" s="1050"/>
      <c r="R105" s="1050"/>
      <c r="S105" s="1049"/>
      <c r="T105" s="1050"/>
      <c r="U105" s="1050"/>
      <c r="V105" s="1050"/>
      <c r="W105" s="1049"/>
      <c r="X105" s="1050"/>
      <c r="Y105" s="1050"/>
      <c r="Z105" s="1050"/>
      <c r="AA105" s="1050"/>
      <c r="AB105" s="1046"/>
      <c r="AD105" s="1046">
        <f t="shared" si="2"/>
        <v>0</v>
      </c>
    </row>
    <row r="106" spans="1:30" s="1028" customFormat="1" ht="24" hidden="1">
      <c r="A106" s="936" t="s">
        <v>1008</v>
      </c>
      <c r="B106" s="937" t="s">
        <v>999</v>
      </c>
      <c r="C106" s="947">
        <f>'[1]Аукцион '!AP188</f>
        <v>0</v>
      </c>
      <c r="D106" s="349"/>
      <c r="E106" s="946" t="e">
        <f>H106/C106</f>
        <v>#DIV/0!</v>
      </c>
      <c r="F106" s="947"/>
      <c r="G106" s="940">
        <f t="shared" si="3"/>
        <v>0</v>
      </c>
      <c r="H106" s="940">
        <f>'[1]Аукцион '!AQ188</f>
        <v>0</v>
      </c>
      <c r="I106" s="940">
        <v>0</v>
      </c>
      <c r="J106" s="1049"/>
      <c r="K106" s="1050"/>
      <c r="L106" s="1050"/>
      <c r="M106" s="1050"/>
      <c r="N106" s="1045"/>
      <c r="O106" s="1050"/>
      <c r="P106" s="1050"/>
      <c r="Q106" s="1050"/>
      <c r="R106" s="1050"/>
      <c r="S106" s="1049"/>
      <c r="T106" s="1050"/>
      <c r="U106" s="1050"/>
      <c r="V106" s="1050"/>
      <c r="W106" s="1049"/>
      <c r="X106" s="1050"/>
      <c r="Y106" s="1050"/>
      <c r="Z106" s="1050"/>
      <c r="AA106" s="1050"/>
      <c r="AB106" s="1046"/>
      <c r="AD106" s="1046">
        <f t="shared" si="2"/>
        <v>0</v>
      </c>
    </row>
    <row r="107" spans="1:30" s="1028" customFormat="1" hidden="1">
      <c r="A107" s="937"/>
      <c r="B107" s="937"/>
      <c r="C107" s="349"/>
      <c r="D107" s="349"/>
      <c r="E107" s="946"/>
      <c r="F107" s="947"/>
      <c r="G107" s="940">
        <f>H107+I107</f>
        <v>0</v>
      </c>
      <c r="H107" s="941">
        <f>SUM(H100:H106)</f>
        <v>0</v>
      </c>
      <c r="I107" s="941">
        <f>SUM(I100:I106)</f>
        <v>0</v>
      </c>
      <c r="J107" s="1049"/>
      <c r="K107" s="1049"/>
      <c r="L107" s="1049"/>
      <c r="M107" s="1049"/>
      <c r="N107" s="1045"/>
      <c r="O107" s="1049"/>
      <c r="P107" s="1049"/>
      <c r="Q107" s="1049"/>
      <c r="R107" s="1049"/>
      <c r="S107" s="1049"/>
      <c r="T107" s="1049"/>
      <c r="U107" s="1049"/>
      <c r="V107" s="1049"/>
      <c r="W107" s="1049"/>
      <c r="X107" s="1049"/>
      <c r="Y107" s="1049"/>
      <c r="Z107" s="1049"/>
      <c r="AA107" s="1049"/>
      <c r="AB107" s="1046"/>
      <c r="AD107" s="1046">
        <f t="shared" si="2"/>
        <v>0</v>
      </c>
    </row>
    <row r="108" spans="1:30" s="1047" customFormat="1" ht="48" hidden="1">
      <c r="A108" s="942" t="s">
        <v>1017</v>
      </c>
      <c r="B108" s="951"/>
      <c r="C108" s="942"/>
      <c r="D108" s="942"/>
      <c r="E108" s="943"/>
      <c r="F108" s="944"/>
      <c r="G108" s="945">
        <f>H108+I108</f>
        <v>0</v>
      </c>
      <c r="H108" s="945">
        <f>'[1]Аукцион '!L189</f>
        <v>0</v>
      </c>
      <c r="I108" s="945">
        <f>'[1]Аукцион '!K189</f>
        <v>0</v>
      </c>
      <c r="J108" s="1049"/>
      <c r="K108" s="1049"/>
      <c r="L108" s="1049"/>
      <c r="M108" s="1049"/>
      <c r="N108" s="1045"/>
      <c r="O108" s="1049"/>
      <c r="P108" s="1049"/>
      <c r="Q108" s="1049"/>
      <c r="R108" s="1049"/>
      <c r="S108" s="1049"/>
      <c r="T108" s="1049"/>
      <c r="U108" s="1049"/>
      <c r="V108" s="1049"/>
      <c r="W108" s="1049"/>
      <c r="X108" s="1049"/>
      <c r="Y108" s="1049"/>
      <c r="Z108" s="1049"/>
      <c r="AA108" s="1049"/>
      <c r="AB108" s="1046"/>
      <c r="AD108" s="1046">
        <f t="shared" si="2"/>
        <v>0</v>
      </c>
    </row>
    <row r="109" spans="1:30" s="1028" customFormat="1" hidden="1">
      <c r="A109" s="936" t="s">
        <v>990</v>
      </c>
      <c r="B109" s="937" t="s">
        <v>470</v>
      </c>
      <c r="C109" s="947">
        <f>'[1]Аукцион '!F189</f>
        <v>0</v>
      </c>
      <c r="D109" s="349"/>
      <c r="E109" s="946" t="e">
        <f>H109/C109</f>
        <v>#DIV/0!</v>
      </c>
      <c r="F109" s="947"/>
      <c r="G109" s="940">
        <f>H109+I109</f>
        <v>0</v>
      </c>
      <c r="H109" s="940">
        <f>'[1]Аукцион '!G189</f>
        <v>0</v>
      </c>
      <c r="I109" s="940">
        <v>0</v>
      </c>
      <c r="J109" s="1049"/>
      <c r="K109" s="1050"/>
      <c r="L109" s="1050"/>
      <c r="M109" s="1050"/>
      <c r="N109" s="1045"/>
      <c r="O109" s="1050"/>
      <c r="P109" s="1050"/>
      <c r="Q109" s="1050"/>
      <c r="R109" s="1050"/>
      <c r="S109" s="1049"/>
      <c r="T109" s="1050"/>
      <c r="U109" s="1050"/>
      <c r="V109" s="1050"/>
      <c r="W109" s="1049"/>
      <c r="X109" s="1050"/>
      <c r="Y109" s="1050"/>
      <c r="Z109" s="1050"/>
      <c r="AA109" s="1050"/>
      <c r="AB109" s="1046"/>
      <c r="AD109" s="1046">
        <f t="shared" ref="AD109:AD157" si="4">AB109-G109</f>
        <v>0</v>
      </c>
    </row>
    <row r="110" spans="1:30" s="1028" customFormat="1" hidden="1">
      <c r="A110" s="936" t="s">
        <v>994</v>
      </c>
      <c r="B110" s="937"/>
      <c r="C110" s="349"/>
      <c r="D110" s="349"/>
      <c r="E110" s="946"/>
      <c r="F110" s="947"/>
      <c r="G110" s="940"/>
      <c r="H110" s="940"/>
      <c r="I110" s="940"/>
      <c r="J110" s="1050"/>
      <c r="K110" s="1050"/>
      <c r="L110" s="1050"/>
      <c r="M110" s="1050"/>
      <c r="N110" s="1045"/>
      <c r="O110" s="1050"/>
      <c r="P110" s="1050"/>
      <c r="Q110" s="1050"/>
      <c r="R110" s="1050"/>
      <c r="S110" s="1049"/>
      <c r="T110" s="1050"/>
      <c r="U110" s="1050"/>
      <c r="V110" s="1050"/>
      <c r="W110" s="1049"/>
      <c r="X110" s="1050"/>
      <c r="Y110" s="1050"/>
      <c r="Z110" s="1050"/>
      <c r="AA110" s="1050"/>
      <c r="AB110" s="1046"/>
      <c r="AD110" s="1046">
        <f t="shared" si="4"/>
        <v>0</v>
      </c>
    </row>
    <row r="111" spans="1:30" s="1028" customFormat="1" hidden="1">
      <c r="A111" s="937" t="s">
        <v>995</v>
      </c>
      <c r="B111" s="937" t="s">
        <v>470</v>
      </c>
      <c r="C111" s="947">
        <f>'[1]Аукцион '!AD189</f>
        <v>0</v>
      </c>
      <c r="D111" s="349"/>
      <c r="E111" s="946" t="e">
        <f>H111/C111</f>
        <v>#DIV/0!</v>
      </c>
      <c r="F111" s="947"/>
      <c r="G111" s="940">
        <f>H111+I111</f>
        <v>0</v>
      </c>
      <c r="H111" s="940">
        <f>'[1]Аукцион '!AE189+'[1]Аукцион '!AK189</f>
        <v>0</v>
      </c>
      <c r="I111" s="940">
        <v>0</v>
      </c>
      <c r="J111" s="1049"/>
      <c r="K111" s="1050"/>
      <c r="L111" s="1050"/>
      <c r="M111" s="1050"/>
      <c r="N111" s="1045"/>
      <c r="O111" s="1050"/>
      <c r="P111" s="1050"/>
      <c r="Q111" s="1050"/>
      <c r="R111" s="1050"/>
      <c r="S111" s="1049"/>
      <c r="T111" s="1050"/>
      <c r="U111" s="1050"/>
      <c r="V111" s="1050"/>
      <c r="W111" s="1049"/>
      <c r="X111" s="1050"/>
      <c r="Y111" s="1050"/>
      <c r="Z111" s="1050"/>
      <c r="AA111" s="1050"/>
      <c r="AB111" s="1046"/>
      <c r="AD111" s="1046">
        <f t="shared" si="4"/>
        <v>0</v>
      </c>
    </row>
    <row r="112" spans="1:30" s="1028" customFormat="1" hidden="1">
      <c r="A112" s="936" t="s">
        <v>1005</v>
      </c>
      <c r="B112" s="937" t="s">
        <v>25</v>
      </c>
      <c r="C112" s="947">
        <f>'[1]Аукцион '!AN189</f>
        <v>0</v>
      </c>
      <c r="D112" s="349"/>
      <c r="E112" s="946" t="e">
        <f>H112/C112</f>
        <v>#DIV/0!</v>
      </c>
      <c r="F112" s="947"/>
      <c r="G112" s="940">
        <f>H112+I112</f>
        <v>0</v>
      </c>
      <c r="H112" s="940">
        <f>'[1]Аукцион '!AO189</f>
        <v>0</v>
      </c>
      <c r="I112" s="940">
        <v>0</v>
      </c>
      <c r="J112" s="1049"/>
      <c r="K112" s="1050"/>
      <c r="L112" s="1050"/>
      <c r="M112" s="1050"/>
      <c r="N112" s="1045"/>
      <c r="O112" s="1050"/>
      <c r="P112" s="1050"/>
      <c r="Q112" s="1050"/>
      <c r="R112" s="1050"/>
      <c r="S112" s="1049"/>
      <c r="T112" s="1050"/>
      <c r="U112" s="1050"/>
      <c r="V112" s="1050"/>
      <c r="W112" s="1049"/>
      <c r="X112" s="1050"/>
      <c r="Y112" s="1050"/>
      <c r="Z112" s="1050"/>
      <c r="AA112" s="1050"/>
      <c r="AB112" s="1046"/>
      <c r="AD112" s="1046">
        <f t="shared" si="4"/>
        <v>0</v>
      </c>
    </row>
    <row r="113" spans="1:30" s="1028" customFormat="1" hidden="1">
      <c r="A113" s="937"/>
      <c r="B113" s="937"/>
      <c r="C113" s="349"/>
      <c r="D113" s="349"/>
      <c r="E113" s="946"/>
      <c r="F113" s="947"/>
      <c r="G113" s="940">
        <f>H113+I113</f>
        <v>0</v>
      </c>
      <c r="H113" s="941">
        <f>SUM(H109:H112)</f>
        <v>0</v>
      </c>
      <c r="I113" s="941">
        <f>SUM(I109:I112)</f>
        <v>0</v>
      </c>
      <c r="J113" s="1049"/>
      <c r="K113" s="1049"/>
      <c r="L113" s="1049"/>
      <c r="M113" s="1049"/>
      <c r="N113" s="1045"/>
      <c r="O113" s="1049"/>
      <c r="P113" s="1049"/>
      <c r="Q113" s="1049"/>
      <c r="R113" s="1049"/>
      <c r="S113" s="1049"/>
      <c r="T113" s="1049"/>
      <c r="U113" s="1049"/>
      <c r="V113" s="1049"/>
      <c r="W113" s="1049"/>
      <c r="X113" s="1049"/>
      <c r="Y113" s="1049"/>
      <c r="Z113" s="1049"/>
      <c r="AA113" s="1049"/>
      <c r="AB113" s="1046"/>
      <c r="AD113" s="1046">
        <f t="shared" si="4"/>
        <v>0</v>
      </c>
    </row>
    <row r="114" spans="1:30" s="1047" customFormat="1" ht="60" hidden="1">
      <c r="A114" s="942" t="s">
        <v>1018</v>
      </c>
      <c r="B114" s="951"/>
      <c r="C114" s="942"/>
      <c r="D114" s="942"/>
      <c r="E114" s="943"/>
      <c r="F114" s="944"/>
      <c r="G114" s="945">
        <f>H114+I114</f>
        <v>0</v>
      </c>
      <c r="H114" s="945">
        <f>'[1]Аукцион '!L190</f>
        <v>0</v>
      </c>
      <c r="I114" s="945">
        <f>'[1]Аукцион '!K190</f>
        <v>0</v>
      </c>
      <c r="J114" s="1049"/>
      <c r="K114" s="1049"/>
      <c r="L114" s="1049"/>
      <c r="M114" s="1049"/>
      <c r="N114" s="1045"/>
      <c r="O114" s="1049"/>
      <c r="P114" s="1049"/>
      <c r="Q114" s="1049"/>
      <c r="R114" s="1049"/>
      <c r="S114" s="1049"/>
      <c r="T114" s="1049"/>
      <c r="U114" s="1049"/>
      <c r="V114" s="1049"/>
      <c r="W114" s="1049"/>
      <c r="X114" s="1049"/>
      <c r="Y114" s="1049"/>
      <c r="Z114" s="1049"/>
      <c r="AA114" s="1049"/>
      <c r="AB114" s="1046"/>
      <c r="AD114" s="1046">
        <f t="shared" si="4"/>
        <v>0</v>
      </c>
    </row>
    <row r="115" spans="1:30" s="1028" customFormat="1" hidden="1">
      <c r="A115" s="936" t="s">
        <v>990</v>
      </c>
      <c r="B115" s="937" t="s">
        <v>470</v>
      </c>
      <c r="C115" s="947">
        <f>'[1]Аукцион '!F190</f>
        <v>0</v>
      </c>
      <c r="D115" s="349"/>
      <c r="E115" s="946" t="e">
        <f>H115/C115</f>
        <v>#DIV/0!</v>
      </c>
      <c r="F115" s="947"/>
      <c r="G115" s="940">
        <f>H115+I115</f>
        <v>0</v>
      </c>
      <c r="H115" s="940">
        <f>'[1]Аукцион '!G190</f>
        <v>0</v>
      </c>
      <c r="I115" s="940">
        <v>0</v>
      </c>
      <c r="J115" s="1049"/>
      <c r="K115" s="1050"/>
      <c r="L115" s="1050"/>
      <c r="M115" s="1050"/>
      <c r="N115" s="1045"/>
      <c r="O115" s="1050"/>
      <c r="P115" s="1050"/>
      <c r="Q115" s="1050"/>
      <c r="R115" s="1050"/>
      <c r="S115" s="1049"/>
      <c r="T115" s="1050"/>
      <c r="U115" s="1050"/>
      <c r="V115" s="1050"/>
      <c r="W115" s="1049"/>
      <c r="X115" s="1050"/>
      <c r="Y115" s="1050"/>
      <c r="Z115" s="1050"/>
      <c r="AA115" s="1050"/>
      <c r="AB115" s="1046"/>
      <c r="AD115" s="1046">
        <f t="shared" si="4"/>
        <v>0</v>
      </c>
    </row>
    <row r="116" spans="1:30" s="1028" customFormat="1" hidden="1">
      <c r="A116" s="936" t="s">
        <v>994</v>
      </c>
      <c r="B116" s="937"/>
      <c r="C116" s="349"/>
      <c r="D116" s="349"/>
      <c r="E116" s="946"/>
      <c r="F116" s="947"/>
      <c r="G116" s="940"/>
      <c r="H116" s="940"/>
      <c r="I116" s="940"/>
      <c r="J116" s="1050"/>
      <c r="K116" s="1050"/>
      <c r="L116" s="1050"/>
      <c r="M116" s="1050"/>
      <c r="N116" s="1045"/>
      <c r="O116" s="1050"/>
      <c r="P116" s="1050"/>
      <c r="Q116" s="1050"/>
      <c r="R116" s="1050"/>
      <c r="S116" s="1049"/>
      <c r="T116" s="1050"/>
      <c r="U116" s="1050"/>
      <c r="V116" s="1050"/>
      <c r="W116" s="1049"/>
      <c r="X116" s="1050"/>
      <c r="Y116" s="1050"/>
      <c r="Z116" s="1050"/>
      <c r="AA116" s="1050"/>
      <c r="AB116" s="1046"/>
      <c r="AD116" s="1046">
        <f t="shared" si="4"/>
        <v>0</v>
      </c>
    </row>
    <row r="117" spans="1:30" s="1028" customFormat="1" hidden="1">
      <c r="A117" s="937" t="s">
        <v>995</v>
      </c>
      <c r="B117" s="937" t="s">
        <v>470</v>
      </c>
      <c r="C117" s="947">
        <f>'[1]Аукцион '!AD190</f>
        <v>0</v>
      </c>
      <c r="D117" s="349"/>
      <c r="E117" s="946" t="e">
        <f>H117/C117</f>
        <v>#DIV/0!</v>
      </c>
      <c r="F117" s="947"/>
      <c r="G117" s="940">
        <f>H117+I117</f>
        <v>0</v>
      </c>
      <c r="H117" s="940">
        <f>'[1]Аукцион '!AE190+'[1]Аукцион '!AK190</f>
        <v>0</v>
      </c>
      <c r="I117" s="940">
        <v>0</v>
      </c>
      <c r="J117" s="1049"/>
      <c r="K117" s="1050"/>
      <c r="L117" s="1050"/>
      <c r="M117" s="1050"/>
      <c r="N117" s="1045"/>
      <c r="O117" s="1050"/>
      <c r="P117" s="1050"/>
      <c r="Q117" s="1050"/>
      <c r="R117" s="1050"/>
      <c r="S117" s="1049"/>
      <c r="T117" s="1050"/>
      <c r="U117" s="1050"/>
      <c r="V117" s="1050"/>
      <c r="W117" s="1049"/>
      <c r="X117" s="1050"/>
      <c r="Y117" s="1050"/>
      <c r="Z117" s="1050"/>
      <c r="AA117" s="1050"/>
      <c r="AB117" s="1046"/>
      <c r="AD117" s="1046">
        <f t="shared" si="4"/>
        <v>0</v>
      </c>
    </row>
    <row r="118" spans="1:30" s="1028" customFormat="1" hidden="1">
      <c r="A118" s="937" t="s">
        <v>996</v>
      </c>
      <c r="B118" s="937" t="s">
        <v>470</v>
      </c>
      <c r="C118" s="947">
        <v>215</v>
      </c>
      <c r="D118" s="349"/>
      <c r="E118" s="946">
        <f>G118/C118</f>
        <v>0</v>
      </c>
      <c r="F118" s="947"/>
      <c r="G118" s="940">
        <f>'[1]Аукцион '!AM190</f>
        <v>0</v>
      </c>
      <c r="H118" s="940">
        <f>'[1]Аукцион '!AM190</f>
        <v>0</v>
      </c>
      <c r="I118" s="940">
        <v>0</v>
      </c>
      <c r="J118" s="1049"/>
      <c r="K118" s="1050"/>
      <c r="L118" s="1050"/>
      <c r="M118" s="1050"/>
      <c r="N118" s="1045"/>
      <c r="O118" s="1050"/>
      <c r="P118" s="1050"/>
      <c r="Q118" s="1050"/>
      <c r="R118" s="1050"/>
      <c r="S118" s="1049"/>
      <c r="T118" s="1050"/>
      <c r="U118" s="1050"/>
      <c r="V118" s="1050"/>
      <c r="W118" s="1049"/>
      <c r="X118" s="1050"/>
      <c r="Y118" s="1050"/>
      <c r="Z118" s="1050"/>
      <c r="AA118" s="1050"/>
      <c r="AB118" s="1046"/>
      <c r="AD118" s="1046">
        <f t="shared" si="4"/>
        <v>0</v>
      </c>
    </row>
    <row r="119" spans="1:30" s="1028" customFormat="1" hidden="1">
      <c r="A119" s="937" t="s">
        <v>1019</v>
      </c>
      <c r="B119" s="937" t="s">
        <v>470</v>
      </c>
      <c r="C119" s="947">
        <v>125</v>
      </c>
      <c r="D119" s="349"/>
      <c r="E119" s="946">
        <f>G119/C119</f>
        <v>0</v>
      </c>
      <c r="F119" s="947"/>
      <c r="G119" s="940">
        <f>H119</f>
        <v>0</v>
      </c>
      <c r="H119" s="940">
        <f>'[1]Аукцион '!AM191+'[1]Аукцион '!AG190</f>
        <v>0</v>
      </c>
      <c r="I119" s="940">
        <v>0</v>
      </c>
      <c r="J119" s="1049"/>
      <c r="K119" s="1050"/>
      <c r="L119" s="1050"/>
      <c r="M119" s="1050"/>
      <c r="N119" s="1045"/>
      <c r="O119" s="1050"/>
      <c r="P119" s="1050"/>
      <c r="Q119" s="1050"/>
      <c r="R119" s="1050"/>
      <c r="S119" s="1049"/>
      <c r="T119" s="1050"/>
      <c r="U119" s="1050"/>
      <c r="V119" s="1050"/>
      <c r="W119" s="1049"/>
      <c r="X119" s="1050"/>
      <c r="Y119" s="1050"/>
      <c r="Z119" s="1050"/>
      <c r="AA119" s="1050"/>
      <c r="AB119" s="1046"/>
      <c r="AD119" s="1046">
        <f t="shared" si="4"/>
        <v>0</v>
      </c>
    </row>
    <row r="120" spans="1:30" s="1028" customFormat="1" ht="24" hidden="1">
      <c r="A120" s="937" t="s">
        <v>1020</v>
      </c>
      <c r="B120" s="937" t="s">
        <v>25</v>
      </c>
      <c r="C120" s="349">
        <v>15</v>
      </c>
      <c r="D120" s="349"/>
      <c r="E120" s="946">
        <f>H120/C120</f>
        <v>0</v>
      </c>
      <c r="F120" s="947"/>
      <c r="G120" s="940">
        <f>H120+I120</f>
        <v>0</v>
      </c>
      <c r="H120" s="940">
        <f>'[1]Аукцион '!AY190+'[1]Аукцион '!BA190+'[1]Аукцион '!BI190+'[1]Аукцион '!BK190</f>
        <v>0</v>
      </c>
      <c r="I120" s="940">
        <v>0</v>
      </c>
      <c r="J120" s="1049"/>
      <c r="K120" s="1050"/>
      <c r="L120" s="1050"/>
      <c r="M120" s="1050"/>
      <c r="N120" s="1045"/>
      <c r="O120" s="1050"/>
      <c r="P120" s="1050"/>
      <c r="Q120" s="1050"/>
      <c r="R120" s="1050"/>
      <c r="S120" s="1049"/>
      <c r="T120" s="1050"/>
      <c r="U120" s="1050"/>
      <c r="V120" s="1050"/>
      <c r="W120" s="1049"/>
      <c r="X120" s="1050"/>
      <c r="Y120" s="1050"/>
      <c r="Z120" s="1050"/>
      <c r="AA120" s="1050"/>
      <c r="AB120" s="1046"/>
      <c r="AD120" s="1046">
        <f t="shared" si="4"/>
        <v>0</v>
      </c>
    </row>
    <row r="121" spans="1:30" s="1028" customFormat="1" hidden="1">
      <c r="A121" s="937" t="s">
        <v>1021</v>
      </c>
      <c r="B121" s="937" t="s">
        <v>470</v>
      </c>
      <c r="C121" s="947">
        <f>'[1]Аукцион '!AH190</f>
        <v>0</v>
      </c>
      <c r="D121" s="349"/>
      <c r="E121" s="946" t="e">
        <f>H121/C121</f>
        <v>#DIV/0!</v>
      </c>
      <c r="F121" s="947"/>
      <c r="G121" s="940">
        <f t="shared" ref="G121:G127" si="5">H121+I121</f>
        <v>0</v>
      </c>
      <c r="H121" s="940">
        <f>'[1]Аукцион '!AI190</f>
        <v>0</v>
      </c>
      <c r="I121" s="940">
        <v>0</v>
      </c>
      <c r="J121" s="1049"/>
      <c r="K121" s="1050"/>
      <c r="L121" s="1050"/>
      <c r="M121" s="1050"/>
      <c r="N121" s="1045"/>
      <c r="O121" s="1050"/>
      <c r="P121" s="1050"/>
      <c r="Q121" s="1050"/>
      <c r="R121" s="1050"/>
      <c r="S121" s="1049"/>
      <c r="T121" s="1050"/>
      <c r="U121" s="1050"/>
      <c r="V121" s="1050"/>
      <c r="W121" s="1049"/>
      <c r="X121" s="1050"/>
      <c r="Y121" s="1050"/>
      <c r="Z121" s="1050"/>
      <c r="AA121" s="1050"/>
      <c r="AB121" s="1046"/>
      <c r="AD121" s="1046">
        <f t="shared" si="4"/>
        <v>0</v>
      </c>
    </row>
    <row r="122" spans="1:30" s="1028" customFormat="1" hidden="1">
      <c r="A122" s="936" t="s">
        <v>1005</v>
      </c>
      <c r="B122" s="937" t="s">
        <v>25</v>
      </c>
      <c r="C122" s="947">
        <f>'[1]Аукцион '!AN190</f>
        <v>0</v>
      </c>
      <c r="D122" s="349"/>
      <c r="E122" s="946" t="e">
        <f>H122/C122</f>
        <v>#DIV/0!</v>
      </c>
      <c r="F122" s="947"/>
      <c r="G122" s="940">
        <f t="shared" si="5"/>
        <v>0</v>
      </c>
      <c r="H122" s="940">
        <f>'[1]Аукцион '!AO190</f>
        <v>0</v>
      </c>
      <c r="I122" s="940">
        <v>0</v>
      </c>
      <c r="J122" s="1049"/>
      <c r="K122" s="1050"/>
      <c r="L122" s="1050"/>
      <c r="M122" s="1050"/>
      <c r="N122" s="1045"/>
      <c r="O122" s="1050"/>
      <c r="P122" s="1050"/>
      <c r="Q122" s="1050"/>
      <c r="R122" s="1050"/>
      <c r="S122" s="1049"/>
      <c r="T122" s="1050"/>
      <c r="U122" s="1050"/>
      <c r="V122" s="1050"/>
      <c r="W122" s="1049"/>
      <c r="X122" s="1050"/>
      <c r="Y122" s="1050"/>
      <c r="Z122" s="1050"/>
      <c r="AA122" s="1050"/>
      <c r="AB122" s="1046"/>
      <c r="AD122" s="1046">
        <f t="shared" si="4"/>
        <v>0</v>
      </c>
    </row>
    <row r="123" spans="1:30" s="1028" customFormat="1" ht="24" hidden="1">
      <c r="A123" s="936" t="s">
        <v>998</v>
      </c>
      <c r="B123" s="937" t="s">
        <v>999</v>
      </c>
      <c r="C123" s="947">
        <f>'[1]Аукцион '!AR190</f>
        <v>0</v>
      </c>
      <c r="D123" s="349"/>
      <c r="E123" s="946" t="e">
        <f>H123/C123</f>
        <v>#DIV/0!</v>
      </c>
      <c r="F123" s="947"/>
      <c r="G123" s="940">
        <f t="shared" si="5"/>
        <v>0</v>
      </c>
      <c r="H123" s="940">
        <f>'[1]Аукцион '!AS190</f>
        <v>0</v>
      </c>
      <c r="I123" s="940">
        <v>0</v>
      </c>
      <c r="J123" s="1049"/>
      <c r="K123" s="1050"/>
      <c r="L123" s="1050"/>
      <c r="M123" s="1050"/>
      <c r="N123" s="1045"/>
      <c r="O123" s="1050"/>
      <c r="P123" s="1050"/>
      <c r="Q123" s="1050"/>
      <c r="R123" s="1050"/>
      <c r="S123" s="1049"/>
      <c r="T123" s="1050"/>
      <c r="U123" s="1050"/>
      <c r="V123" s="1050"/>
      <c r="W123" s="1049"/>
      <c r="X123" s="1050"/>
      <c r="Y123" s="1050"/>
      <c r="Z123" s="1050"/>
      <c r="AA123" s="1050"/>
      <c r="AB123" s="1046"/>
      <c r="AD123" s="1046">
        <f t="shared" si="4"/>
        <v>0</v>
      </c>
    </row>
    <row r="124" spans="1:30" s="1028" customFormat="1" hidden="1">
      <c r="A124" s="949"/>
      <c r="B124" s="937"/>
      <c r="C124" s="349"/>
      <c r="D124" s="349"/>
      <c r="E124" s="946"/>
      <c r="F124" s="947"/>
      <c r="G124" s="940">
        <f t="shared" si="5"/>
        <v>0</v>
      </c>
      <c r="H124" s="941">
        <f>SUM(H115:H123)</f>
        <v>0</v>
      </c>
      <c r="I124" s="941">
        <f>SUM(I115:I123)</f>
        <v>0</v>
      </c>
      <c r="J124" s="1049"/>
      <c r="K124" s="1049"/>
      <c r="L124" s="1049"/>
      <c r="M124" s="1049"/>
      <c r="N124" s="1045"/>
      <c r="O124" s="1049"/>
      <c r="P124" s="1049"/>
      <c r="Q124" s="1049"/>
      <c r="R124" s="1049"/>
      <c r="S124" s="1049"/>
      <c r="T124" s="1049"/>
      <c r="U124" s="1049"/>
      <c r="V124" s="1049"/>
      <c r="W124" s="1049"/>
      <c r="X124" s="1049"/>
      <c r="Y124" s="1049"/>
      <c r="Z124" s="1049"/>
      <c r="AA124" s="1049"/>
      <c r="AB124" s="1046"/>
      <c r="AD124" s="1046">
        <f t="shared" si="4"/>
        <v>0</v>
      </c>
    </row>
    <row r="125" spans="1:30" s="1047" customFormat="1" ht="60" hidden="1">
      <c r="A125" s="942" t="s">
        <v>1022</v>
      </c>
      <c r="B125" s="951"/>
      <c r="C125" s="942"/>
      <c r="D125" s="942"/>
      <c r="E125" s="943"/>
      <c r="F125" s="944"/>
      <c r="G125" s="945">
        <f t="shared" si="5"/>
        <v>0</v>
      </c>
      <c r="H125" s="945">
        <f>'[1]Аукцион '!L192</f>
        <v>0</v>
      </c>
      <c r="I125" s="945">
        <f>'[1]Аукцион '!K192</f>
        <v>0</v>
      </c>
      <c r="J125" s="1049"/>
      <c r="K125" s="1049"/>
      <c r="L125" s="1049"/>
      <c r="M125" s="1049"/>
      <c r="N125" s="1045"/>
      <c r="O125" s="1049"/>
      <c r="P125" s="1049"/>
      <c r="Q125" s="1049"/>
      <c r="R125" s="1049"/>
      <c r="S125" s="1049"/>
      <c r="T125" s="1049"/>
      <c r="U125" s="1049"/>
      <c r="V125" s="1049"/>
      <c r="W125" s="1049"/>
      <c r="X125" s="1049"/>
      <c r="Y125" s="1049"/>
      <c r="Z125" s="1049"/>
      <c r="AA125" s="1049"/>
      <c r="AB125" s="1046"/>
      <c r="AC125" s="1046"/>
      <c r="AD125" s="1046">
        <f t="shared" si="4"/>
        <v>0</v>
      </c>
    </row>
    <row r="126" spans="1:30" s="1028" customFormat="1" hidden="1">
      <c r="A126" s="936" t="s">
        <v>990</v>
      </c>
      <c r="B126" s="937" t="s">
        <v>470</v>
      </c>
      <c r="C126" s="947">
        <f>'[1]Аукцион '!F192</f>
        <v>0</v>
      </c>
      <c r="D126" s="349"/>
      <c r="E126" s="946" t="e">
        <f>H126/C126</f>
        <v>#DIV/0!</v>
      </c>
      <c r="F126" s="947"/>
      <c r="G126" s="940">
        <f t="shared" si="5"/>
        <v>0</v>
      </c>
      <c r="H126" s="940">
        <f>'[1]Аукцион '!G192</f>
        <v>0</v>
      </c>
      <c r="I126" s="940">
        <v>0</v>
      </c>
      <c r="J126" s="1049"/>
      <c r="K126" s="1050"/>
      <c r="L126" s="1050"/>
      <c r="M126" s="1050"/>
      <c r="N126" s="1045"/>
      <c r="O126" s="1050"/>
      <c r="P126" s="1050"/>
      <c r="Q126" s="1050"/>
      <c r="R126" s="1050"/>
      <c r="S126" s="1049"/>
      <c r="T126" s="1050"/>
      <c r="U126" s="1050"/>
      <c r="V126" s="1050"/>
      <c r="W126" s="1049"/>
      <c r="X126" s="1050"/>
      <c r="Y126" s="1050"/>
      <c r="Z126" s="1050"/>
      <c r="AA126" s="1050"/>
      <c r="AB126" s="1046"/>
      <c r="AC126" s="1051">
        <f>K126+L126+M126+O126+Y126+Z126+AA126</f>
        <v>0</v>
      </c>
      <c r="AD126" s="1046">
        <f t="shared" si="4"/>
        <v>0</v>
      </c>
    </row>
    <row r="127" spans="1:30" s="1028" customFormat="1" hidden="1">
      <c r="A127" s="936" t="s">
        <v>992</v>
      </c>
      <c r="B127" s="937" t="s">
        <v>25</v>
      </c>
      <c r="C127" s="947">
        <f>'[1]Аукцион '!U192</f>
        <v>0</v>
      </c>
      <c r="D127" s="947">
        <f>'[1]Аукцион '!X192</f>
        <v>0</v>
      </c>
      <c r="E127" s="946" t="e">
        <f>H127/C127</f>
        <v>#DIV/0!</v>
      </c>
      <c r="F127" s="947" t="e">
        <f>I127/D127</f>
        <v>#DIV/0!</v>
      </c>
      <c r="G127" s="940">
        <f t="shared" si="5"/>
        <v>0</v>
      </c>
      <c r="H127" s="940">
        <f>'[1]Аукцион '!V192+'[1]Аукцион '!W192</f>
        <v>0</v>
      </c>
      <c r="I127" s="940">
        <f>'[1]Аукцион '!Y192</f>
        <v>0</v>
      </c>
      <c r="J127" s="1049"/>
      <c r="K127" s="1050"/>
      <c r="L127" s="1050"/>
      <c r="M127" s="1050"/>
      <c r="N127" s="1045"/>
      <c r="O127" s="1050"/>
      <c r="P127" s="1050"/>
      <c r="Q127" s="1050"/>
      <c r="R127" s="1050"/>
      <c r="S127" s="1049"/>
      <c r="T127" s="1050"/>
      <c r="U127" s="1050"/>
      <c r="V127" s="1050"/>
      <c r="W127" s="1049"/>
      <c r="X127" s="1050"/>
      <c r="Y127" s="1050"/>
      <c r="Z127" s="1050"/>
      <c r="AA127" s="1050"/>
      <c r="AB127" s="1046"/>
      <c r="AC127" s="1051">
        <f>K127+L127+M127+O127+Y127+Z127+AA127</f>
        <v>0</v>
      </c>
      <c r="AD127" s="1046">
        <f t="shared" si="4"/>
        <v>0</v>
      </c>
    </row>
    <row r="128" spans="1:30" s="1028" customFormat="1" hidden="1">
      <c r="A128" s="936" t="s">
        <v>994</v>
      </c>
      <c r="B128" s="937"/>
      <c r="C128" s="349"/>
      <c r="D128" s="349"/>
      <c r="E128" s="946"/>
      <c r="F128" s="947"/>
      <c r="G128" s="940"/>
      <c r="H128" s="940"/>
      <c r="I128" s="940"/>
      <c r="J128" s="1050"/>
      <c r="K128" s="1050"/>
      <c r="L128" s="1050"/>
      <c r="M128" s="1050"/>
      <c r="N128" s="1045"/>
      <c r="O128" s="1050"/>
      <c r="P128" s="1050"/>
      <c r="Q128" s="1050"/>
      <c r="R128" s="1050"/>
      <c r="S128" s="1049"/>
      <c r="T128" s="1050"/>
      <c r="U128" s="1050"/>
      <c r="V128" s="1050"/>
      <c r="W128" s="1049"/>
      <c r="X128" s="1050"/>
      <c r="Y128" s="1050"/>
      <c r="Z128" s="1050"/>
      <c r="AA128" s="1050"/>
      <c r="AB128" s="1046"/>
      <c r="AD128" s="1046">
        <f t="shared" si="4"/>
        <v>0</v>
      </c>
    </row>
    <row r="129" spans="1:33" s="1028" customFormat="1" hidden="1">
      <c r="A129" s="937" t="s">
        <v>995</v>
      </c>
      <c r="B129" s="937" t="s">
        <v>470</v>
      </c>
      <c r="C129" s="947">
        <f>'[1]Аукцион '!AD192</f>
        <v>0</v>
      </c>
      <c r="D129" s="349"/>
      <c r="E129" s="946" t="e">
        <f>H129/C129</f>
        <v>#DIV/0!</v>
      </c>
      <c r="F129" s="947"/>
      <c r="G129" s="940">
        <f t="shared" ref="G129:G134" si="6">H129+I129</f>
        <v>0</v>
      </c>
      <c r="H129" s="940">
        <f>'[1]Аукцион '!AE192+'[1]Аукцион '!AK192</f>
        <v>0</v>
      </c>
      <c r="I129" s="940">
        <v>0</v>
      </c>
      <c r="J129" s="1049"/>
      <c r="K129" s="1050"/>
      <c r="L129" s="1050"/>
      <c r="M129" s="1050"/>
      <c r="N129" s="1045"/>
      <c r="O129" s="1050"/>
      <c r="P129" s="1050"/>
      <c r="Q129" s="1050"/>
      <c r="R129" s="1050"/>
      <c r="S129" s="1049"/>
      <c r="T129" s="1050"/>
      <c r="U129" s="1050"/>
      <c r="V129" s="1050"/>
      <c r="W129" s="1049"/>
      <c r="X129" s="1050"/>
      <c r="Y129" s="1050"/>
      <c r="Z129" s="1050"/>
      <c r="AA129" s="1050"/>
      <c r="AB129" s="1046"/>
      <c r="AC129" s="1051">
        <f>K129+L129+M129+O129+Y129+Z129+AA129</f>
        <v>0</v>
      </c>
      <c r="AD129" s="1046">
        <f t="shared" si="4"/>
        <v>0</v>
      </c>
    </row>
    <row r="130" spans="1:33" s="1028" customFormat="1" hidden="1">
      <c r="A130" s="937" t="s">
        <v>996</v>
      </c>
      <c r="B130" s="937" t="s">
        <v>470</v>
      </c>
      <c r="C130" s="947">
        <f>'[1]Аукцион '!AF192</f>
        <v>0</v>
      </c>
      <c r="D130" s="349"/>
      <c r="E130" s="946" t="e">
        <f>H130/C130</f>
        <v>#DIV/0!</v>
      </c>
      <c r="F130" s="947"/>
      <c r="G130" s="940">
        <f t="shared" si="6"/>
        <v>0</v>
      </c>
      <c r="H130" s="940">
        <f>'[1]Аукцион '!AG192+'[1]Аукцион '!AM192</f>
        <v>0</v>
      </c>
      <c r="I130" s="940">
        <v>0</v>
      </c>
      <c r="J130" s="1049"/>
      <c r="K130" s="1050"/>
      <c r="L130" s="1050"/>
      <c r="M130" s="1050"/>
      <c r="N130" s="1045"/>
      <c r="O130" s="1050"/>
      <c r="P130" s="1050"/>
      <c r="Q130" s="1050"/>
      <c r="R130" s="1050"/>
      <c r="S130" s="1049"/>
      <c r="T130" s="1050"/>
      <c r="U130" s="1050"/>
      <c r="V130" s="1050"/>
      <c r="W130" s="1049"/>
      <c r="X130" s="1050"/>
      <c r="Y130" s="1050"/>
      <c r="Z130" s="1050"/>
      <c r="AA130" s="1050"/>
      <c r="AB130" s="1046"/>
      <c r="AC130" s="1051">
        <f>K130+L130+M130+O130+Y130+Z130+AA130</f>
        <v>0</v>
      </c>
      <c r="AD130" s="1046">
        <f t="shared" si="4"/>
        <v>0</v>
      </c>
    </row>
    <row r="131" spans="1:33" s="1028" customFormat="1" ht="24" hidden="1">
      <c r="A131" s="936" t="s">
        <v>998</v>
      </c>
      <c r="B131" s="937" t="s">
        <v>999</v>
      </c>
      <c r="C131" s="947">
        <f>'[1]Аукцион '!AR192</f>
        <v>0</v>
      </c>
      <c r="D131" s="349"/>
      <c r="E131" s="946" t="e">
        <f>H131/C131</f>
        <v>#DIV/0!</v>
      </c>
      <c r="F131" s="947"/>
      <c r="G131" s="940">
        <f t="shared" si="6"/>
        <v>0</v>
      </c>
      <c r="H131" s="940">
        <f>'[1]Аукцион '!AS192</f>
        <v>0</v>
      </c>
      <c r="I131" s="940">
        <v>0</v>
      </c>
      <c r="J131" s="1049"/>
      <c r="K131" s="1050"/>
      <c r="L131" s="1050"/>
      <c r="M131" s="1050"/>
      <c r="N131" s="1045"/>
      <c r="O131" s="1050"/>
      <c r="P131" s="1050"/>
      <c r="Q131" s="1050"/>
      <c r="R131" s="1050"/>
      <c r="S131" s="1049"/>
      <c r="T131" s="1050"/>
      <c r="U131" s="1050"/>
      <c r="V131" s="1050"/>
      <c r="W131" s="1049"/>
      <c r="X131" s="1050"/>
      <c r="Y131" s="1050"/>
      <c r="Z131" s="1050"/>
      <c r="AA131" s="1050"/>
      <c r="AB131" s="1046"/>
      <c r="AC131" s="1051">
        <f>K131+L131+M131+O131+Y131+Z131+AA131</f>
        <v>0</v>
      </c>
      <c r="AD131" s="1046">
        <f t="shared" si="4"/>
        <v>0</v>
      </c>
    </row>
    <row r="132" spans="1:33" s="1028" customFormat="1" hidden="1">
      <c r="A132" s="937"/>
      <c r="B132" s="937"/>
      <c r="C132" s="349"/>
      <c r="D132" s="349"/>
      <c r="E132" s="946"/>
      <c r="F132" s="947"/>
      <c r="G132" s="940">
        <f t="shared" si="6"/>
        <v>0</v>
      </c>
      <c r="H132" s="941">
        <f>SUM(H126:H131)</f>
        <v>0</v>
      </c>
      <c r="I132" s="941">
        <f>SUM(I126:I131)</f>
        <v>0</v>
      </c>
      <c r="J132" s="1049"/>
      <c r="K132" s="1049"/>
      <c r="L132" s="1049"/>
      <c r="M132" s="1049"/>
      <c r="N132" s="1045"/>
      <c r="O132" s="1049"/>
      <c r="P132" s="1049"/>
      <c r="Q132" s="1049"/>
      <c r="R132" s="1049"/>
      <c r="S132" s="1049"/>
      <c r="T132" s="1049"/>
      <c r="U132" s="1049"/>
      <c r="V132" s="1049"/>
      <c r="W132" s="1049"/>
      <c r="X132" s="1049"/>
      <c r="Y132" s="1049"/>
      <c r="Z132" s="1049"/>
      <c r="AA132" s="1049"/>
      <c r="AB132" s="1046"/>
      <c r="AD132" s="1046">
        <f t="shared" si="4"/>
        <v>0</v>
      </c>
    </row>
    <row r="133" spans="1:33" s="1047" customFormat="1" ht="36" hidden="1">
      <c r="A133" s="942" t="s">
        <v>1023</v>
      </c>
      <c r="B133" s="942"/>
      <c r="C133" s="942"/>
      <c r="D133" s="942"/>
      <c r="E133" s="943"/>
      <c r="F133" s="944"/>
      <c r="G133" s="945">
        <f t="shared" si="6"/>
        <v>0</v>
      </c>
      <c r="H133" s="945">
        <f>'[1]Аукцион '!L195</f>
        <v>0</v>
      </c>
      <c r="I133" s="945">
        <v>0</v>
      </c>
      <c r="J133" s="1049"/>
      <c r="K133" s="1049"/>
      <c r="L133" s="1049"/>
      <c r="M133" s="1049"/>
      <c r="N133" s="1045"/>
      <c r="O133" s="1049"/>
      <c r="P133" s="1049"/>
      <c r="Q133" s="1049"/>
      <c r="R133" s="1049"/>
      <c r="S133" s="1049"/>
      <c r="T133" s="1049"/>
      <c r="U133" s="1049"/>
      <c r="V133" s="1049"/>
      <c r="W133" s="1049"/>
      <c r="X133" s="1049"/>
      <c r="Y133" s="1049"/>
      <c r="Z133" s="1049"/>
      <c r="AA133" s="1049"/>
      <c r="AB133" s="1046"/>
      <c r="AD133" s="1046">
        <f t="shared" si="4"/>
        <v>0</v>
      </c>
    </row>
    <row r="134" spans="1:33" s="1024" customFormat="1" hidden="1">
      <c r="A134" s="936" t="s">
        <v>990</v>
      </c>
      <c r="B134" s="937" t="s">
        <v>470</v>
      </c>
      <c r="C134" s="947">
        <f>'[1]Аукцион '!F195</f>
        <v>0</v>
      </c>
      <c r="D134" s="349"/>
      <c r="E134" s="946" t="e">
        <f>H134/C134</f>
        <v>#DIV/0!</v>
      </c>
      <c r="F134" s="947"/>
      <c r="G134" s="940">
        <f t="shared" si="6"/>
        <v>0</v>
      </c>
      <c r="H134" s="940">
        <f>'[1]Аукцион '!G195</f>
        <v>0</v>
      </c>
      <c r="I134" s="940">
        <v>0</v>
      </c>
      <c r="J134" s="1049"/>
      <c r="K134" s="1050"/>
      <c r="L134" s="1050"/>
      <c r="M134" s="1050"/>
      <c r="N134" s="1045"/>
      <c r="O134" s="1050"/>
      <c r="P134" s="1050"/>
      <c r="Q134" s="1050"/>
      <c r="R134" s="1050"/>
      <c r="S134" s="1049"/>
      <c r="T134" s="1050"/>
      <c r="U134" s="1050"/>
      <c r="V134" s="1050"/>
      <c r="W134" s="1049"/>
      <c r="X134" s="1050"/>
      <c r="Y134" s="1050"/>
      <c r="Z134" s="1050"/>
      <c r="AA134" s="1050"/>
      <c r="AB134" s="1046"/>
      <c r="AC134" s="1051">
        <f>K134+L134+M134+O134+Y134+Z134+AA134</f>
        <v>0</v>
      </c>
      <c r="AD134" s="1046">
        <f t="shared" si="4"/>
        <v>0</v>
      </c>
      <c r="AE134" s="1028"/>
      <c r="AF134" s="1028"/>
      <c r="AG134" s="1028"/>
    </row>
    <row r="135" spans="1:33" s="1024" customFormat="1" hidden="1">
      <c r="A135" s="936" t="s">
        <v>994</v>
      </c>
      <c r="B135" s="937"/>
      <c r="C135" s="349"/>
      <c r="D135" s="349"/>
      <c r="E135" s="946"/>
      <c r="F135" s="947"/>
      <c r="G135" s="940"/>
      <c r="H135" s="940"/>
      <c r="I135" s="940"/>
      <c r="J135" s="1049"/>
      <c r="K135" s="1050"/>
      <c r="L135" s="1050"/>
      <c r="M135" s="1050"/>
      <c r="N135" s="1045"/>
      <c r="O135" s="1050"/>
      <c r="P135" s="1050"/>
      <c r="Q135" s="1050"/>
      <c r="R135" s="1050"/>
      <c r="S135" s="1049"/>
      <c r="T135" s="1050"/>
      <c r="U135" s="1050"/>
      <c r="V135" s="1050"/>
      <c r="W135" s="1049"/>
      <c r="X135" s="1050"/>
      <c r="Y135" s="1050"/>
      <c r="Z135" s="1050"/>
      <c r="AA135" s="1050"/>
      <c r="AB135" s="1046"/>
      <c r="AC135" s="1028"/>
      <c r="AD135" s="1046">
        <f t="shared" si="4"/>
        <v>0</v>
      </c>
      <c r="AE135" s="1028"/>
      <c r="AF135" s="1028"/>
      <c r="AG135" s="1028"/>
    </row>
    <row r="136" spans="1:33" s="1024" customFormat="1" hidden="1">
      <c r="A136" s="937" t="s">
        <v>995</v>
      </c>
      <c r="B136" s="937" t="s">
        <v>470</v>
      </c>
      <c r="C136" s="947">
        <f>'[1]Аукцион '!AJ195</f>
        <v>0</v>
      </c>
      <c r="D136" s="349"/>
      <c r="E136" s="946" t="e">
        <f>G136/C136</f>
        <v>#DIV/0!</v>
      </c>
      <c r="F136" s="947"/>
      <c r="G136" s="940">
        <f>H136+I136</f>
        <v>0</v>
      </c>
      <c r="H136" s="940">
        <f>'[1]Аукцион '!AE195+'[1]Аукцион '!AK195</f>
        <v>0</v>
      </c>
      <c r="I136" s="940">
        <v>0</v>
      </c>
      <c r="J136" s="1049"/>
      <c r="K136" s="1050"/>
      <c r="L136" s="1050"/>
      <c r="M136" s="1050"/>
      <c r="N136" s="1045"/>
      <c r="O136" s="1050"/>
      <c r="P136" s="1050"/>
      <c r="Q136" s="1050"/>
      <c r="R136" s="1050"/>
      <c r="S136" s="1049"/>
      <c r="T136" s="1050"/>
      <c r="U136" s="1050"/>
      <c r="V136" s="1050"/>
      <c r="W136" s="1049"/>
      <c r="X136" s="1050"/>
      <c r="Y136" s="1050"/>
      <c r="Z136" s="1050"/>
      <c r="AA136" s="1050"/>
      <c r="AB136" s="1046"/>
      <c r="AC136" s="1051">
        <f>K136+L136+M136+O136+Y136+Z136+AA136</f>
        <v>0</v>
      </c>
      <c r="AD136" s="1046">
        <f t="shared" si="4"/>
        <v>0</v>
      </c>
      <c r="AE136" s="1028"/>
      <c r="AF136" s="1028"/>
      <c r="AG136" s="1028"/>
    </row>
    <row r="137" spans="1:33" s="1024" customFormat="1" ht="24" hidden="1">
      <c r="A137" s="937" t="s">
        <v>1024</v>
      </c>
      <c r="B137" s="937" t="s">
        <v>25</v>
      </c>
      <c r="C137" s="349">
        <v>1</v>
      </c>
      <c r="D137" s="349"/>
      <c r="E137" s="946">
        <f>G137/C137</f>
        <v>0</v>
      </c>
      <c r="F137" s="947"/>
      <c r="G137" s="940">
        <f>H137+I137</f>
        <v>0</v>
      </c>
      <c r="H137" s="940">
        <f>'[1]Аукцион '!BA195+'[1]Аукцион '!BI195+'[1]Аукцион '!BK195</f>
        <v>0</v>
      </c>
      <c r="I137" s="940">
        <v>0</v>
      </c>
      <c r="J137" s="1049"/>
      <c r="K137" s="1050"/>
      <c r="L137" s="1050"/>
      <c r="M137" s="1050"/>
      <c r="N137" s="1045"/>
      <c r="O137" s="1050"/>
      <c r="P137" s="1050"/>
      <c r="Q137" s="1050"/>
      <c r="R137" s="1050"/>
      <c r="S137" s="1049"/>
      <c r="T137" s="1050"/>
      <c r="U137" s="1050"/>
      <c r="V137" s="1050"/>
      <c r="W137" s="1049"/>
      <c r="X137" s="1050"/>
      <c r="Y137" s="1050"/>
      <c r="Z137" s="1050"/>
      <c r="AA137" s="1050"/>
      <c r="AB137" s="1046"/>
      <c r="AC137" s="1051">
        <f>K137+L137+M137+O137+Y137+Z137+AA137</f>
        <v>0</v>
      </c>
      <c r="AD137" s="1046">
        <f t="shared" si="4"/>
        <v>0</v>
      </c>
      <c r="AE137" s="1028"/>
      <c r="AF137" s="1028"/>
      <c r="AG137" s="1028"/>
    </row>
    <row r="138" spans="1:33" s="1024" customFormat="1" ht="24" hidden="1">
      <c r="A138" s="936" t="s">
        <v>998</v>
      </c>
      <c r="B138" s="937" t="s">
        <v>999</v>
      </c>
      <c r="C138" s="947">
        <f>'[1]Аукцион '!AR195</f>
        <v>0</v>
      </c>
      <c r="D138" s="349"/>
      <c r="E138" s="946" t="e">
        <f>H138/C138</f>
        <v>#DIV/0!</v>
      </c>
      <c r="F138" s="947"/>
      <c r="G138" s="940">
        <f>H138+I138</f>
        <v>0</v>
      </c>
      <c r="H138" s="940">
        <f>'[1]Аукцион '!AS195</f>
        <v>0</v>
      </c>
      <c r="I138" s="940">
        <v>0</v>
      </c>
      <c r="J138" s="1049"/>
      <c r="K138" s="1050"/>
      <c r="L138" s="1050"/>
      <c r="M138" s="1050"/>
      <c r="N138" s="1045"/>
      <c r="O138" s="1050"/>
      <c r="P138" s="1050"/>
      <c r="Q138" s="1050"/>
      <c r="R138" s="1050"/>
      <c r="S138" s="1049"/>
      <c r="T138" s="1050"/>
      <c r="U138" s="1050"/>
      <c r="V138" s="1050"/>
      <c r="W138" s="1049"/>
      <c r="X138" s="1050"/>
      <c r="Y138" s="1050"/>
      <c r="Z138" s="1050"/>
      <c r="AA138" s="1050"/>
      <c r="AB138" s="1046"/>
      <c r="AC138" s="1051">
        <f>K138+L138+M138+O138+Y138+Z138+AA138</f>
        <v>0</v>
      </c>
      <c r="AD138" s="1046">
        <f t="shared" si="4"/>
        <v>0</v>
      </c>
      <c r="AE138" s="1028"/>
      <c r="AF138" s="1028"/>
      <c r="AG138" s="1028"/>
    </row>
    <row r="139" spans="1:33" s="1024" customFormat="1" hidden="1">
      <c r="A139" s="937"/>
      <c r="B139" s="937"/>
      <c r="C139" s="349"/>
      <c r="D139" s="349"/>
      <c r="E139" s="946"/>
      <c r="F139" s="947"/>
      <c r="G139" s="940">
        <f>H139+I139</f>
        <v>0</v>
      </c>
      <c r="H139" s="941">
        <f>SUM(H134:H138)</f>
        <v>0</v>
      </c>
      <c r="I139" s="941">
        <f>SUM(I134:I138)</f>
        <v>0</v>
      </c>
      <c r="J139" s="1049"/>
      <c r="K139" s="1049"/>
      <c r="L139" s="1049"/>
      <c r="M139" s="1049"/>
      <c r="N139" s="1045"/>
      <c r="O139" s="1049"/>
      <c r="P139" s="1049"/>
      <c r="Q139" s="1049"/>
      <c r="R139" s="1049"/>
      <c r="S139" s="1049"/>
      <c r="T139" s="1049"/>
      <c r="U139" s="1049"/>
      <c r="V139" s="1049"/>
      <c r="W139" s="1049"/>
      <c r="X139" s="1049"/>
      <c r="Y139" s="1049"/>
      <c r="Z139" s="1049"/>
      <c r="AA139" s="1049"/>
      <c r="AB139" s="1046"/>
      <c r="AC139" s="1028"/>
      <c r="AD139" s="1046">
        <f t="shared" si="4"/>
        <v>0</v>
      </c>
      <c r="AE139" s="1028"/>
      <c r="AF139" s="1028"/>
      <c r="AG139" s="1028"/>
    </row>
    <row r="140" spans="1:33" s="1048" customFormat="1" ht="48" hidden="1">
      <c r="A140" s="942" t="s">
        <v>1025</v>
      </c>
      <c r="B140" s="942"/>
      <c r="C140" s="942"/>
      <c r="D140" s="942"/>
      <c r="E140" s="943"/>
      <c r="F140" s="944"/>
      <c r="G140" s="945">
        <f t="shared" ref="G140:G142" si="7">H140+I140</f>
        <v>0</v>
      </c>
      <c r="H140" s="945">
        <f>'[1]Аукцион '!L196</f>
        <v>0</v>
      </c>
      <c r="I140" s="945">
        <v>0</v>
      </c>
      <c r="J140" s="1049"/>
      <c r="K140" s="1049"/>
      <c r="L140" s="1049"/>
      <c r="M140" s="1049"/>
      <c r="N140" s="1045"/>
      <c r="O140" s="1049"/>
      <c r="P140" s="1049"/>
      <c r="Q140" s="1049"/>
      <c r="R140" s="1049"/>
      <c r="S140" s="1049"/>
      <c r="T140" s="1049"/>
      <c r="U140" s="1049"/>
      <c r="V140" s="1049"/>
      <c r="W140" s="1049"/>
      <c r="X140" s="1049"/>
      <c r="Y140" s="1049"/>
      <c r="Z140" s="1049"/>
      <c r="AA140" s="1049"/>
      <c r="AB140" s="1046"/>
      <c r="AC140" s="1047"/>
      <c r="AD140" s="1046">
        <f t="shared" si="4"/>
        <v>0</v>
      </c>
      <c r="AE140" s="1047"/>
      <c r="AF140" s="1047"/>
      <c r="AG140" s="1047"/>
    </row>
    <row r="141" spans="1:33" s="1024" customFormat="1" hidden="1">
      <c r="A141" s="936" t="s">
        <v>990</v>
      </c>
      <c r="B141" s="937" t="s">
        <v>470</v>
      </c>
      <c r="C141" s="947">
        <f>'[1]Аукцион '!F196</f>
        <v>0</v>
      </c>
      <c r="D141" s="349"/>
      <c r="E141" s="946" t="e">
        <f>H141/C141</f>
        <v>#DIV/0!</v>
      </c>
      <c r="F141" s="947"/>
      <c r="G141" s="940">
        <f t="shared" si="7"/>
        <v>0</v>
      </c>
      <c r="H141" s="940">
        <f>'[1]Аукцион '!G196</f>
        <v>0</v>
      </c>
      <c r="I141" s="940">
        <v>0</v>
      </c>
      <c r="J141" s="1049"/>
      <c r="K141" s="1050"/>
      <c r="L141" s="1050"/>
      <c r="M141" s="1050"/>
      <c r="N141" s="1045"/>
      <c r="O141" s="1050"/>
      <c r="P141" s="1050"/>
      <c r="Q141" s="1050"/>
      <c r="R141" s="1050"/>
      <c r="S141" s="1049"/>
      <c r="T141" s="1050"/>
      <c r="U141" s="1050"/>
      <c r="V141" s="1050"/>
      <c r="W141" s="1049"/>
      <c r="X141" s="1050"/>
      <c r="Y141" s="1050"/>
      <c r="Z141" s="1050"/>
      <c r="AA141" s="1050"/>
      <c r="AB141" s="1046"/>
      <c r="AC141" s="1028"/>
      <c r="AD141" s="1046">
        <f t="shared" si="4"/>
        <v>0</v>
      </c>
      <c r="AE141" s="1028"/>
      <c r="AF141" s="1028"/>
      <c r="AG141" s="1028"/>
    </row>
    <row r="142" spans="1:33" s="1024" customFormat="1" ht="24" hidden="1">
      <c r="A142" s="936" t="s">
        <v>991</v>
      </c>
      <c r="B142" s="937" t="s">
        <v>470</v>
      </c>
      <c r="C142" s="947">
        <f>'[1]Аукцион '!Q196</f>
        <v>0</v>
      </c>
      <c r="D142" s="349"/>
      <c r="E142" s="946" t="e">
        <f>H142/C142</f>
        <v>#DIV/0!</v>
      </c>
      <c r="F142" s="947"/>
      <c r="G142" s="940">
        <f t="shared" si="7"/>
        <v>0</v>
      </c>
      <c r="H142" s="940">
        <f>'[1]Аукцион '!R196</f>
        <v>0</v>
      </c>
      <c r="I142" s="940">
        <v>0</v>
      </c>
      <c r="J142" s="1049"/>
      <c r="K142" s="1050"/>
      <c r="L142" s="1050"/>
      <c r="M142" s="1050"/>
      <c r="N142" s="1045"/>
      <c r="O142" s="1050"/>
      <c r="P142" s="1050"/>
      <c r="Q142" s="1050"/>
      <c r="R142" s="1050"/>
      <c r="S142" s="1049"/>
      <c r="T142" s="1050"/>
      <c r="U142" s="1050"/>
      <c r="V142" s="1050"/>
      <c r="W142" s="1049"/>
      <c r="X142" s="1050"/>
      <c r="Y142" s="1050"/>
      <c r="Z142" s="1050"/>
      <c r="AA142" s="1050"/>
      <c r="AB142" s="1046"/>
      <c r="AC142" s="1028"/>
      <c r="AD142" s="1046">
        <f t="shared" si="4"/>
        <v>0</v>
      </c>
      <c r="AE142" s="1028"/>
      <c r="AF142" s="1028"/>
      <c r="AG142" s="1028"/>
    </row>
    <row r="143" spans="1:33" s="1024" customFormat="1" hidden="1">
      <c r="A143" s="936" t="s">
        <v>994</v>
      </c>
      <c r="B143" s="937"/>
      <c r="C143" s="349"/>
      <c r="D143" s="349"/>
      <c r="E143" s="946"/>
      <c r="F143" s="947"/>
      <c r="G143" s="940"/>
      <c r="H143" s="940"/>
      <c r="I143" s="940"/>
      <c r="J143" s="1049"/>
      <c r="K143" s="1050"/>
      <c r="L143" s="1050"/>
      <c r="M143" s="1050"/>
      <c r="N143" s="1045"/>
      <c r="O143" s="1050"/>
      <c r="P143" s="1050"/>
      <c r="Q143" s="1050"/>
      <c r="R143" s="1050"/>
      <c r="S143" s="1049"/>
      <c r="T143" s="1050"/>
      <c r="U143" s="1050"/>
      <c r="V143" s="1050"/>
      <c r="W143" s="1049"/>
      <c r="X143" s="1050"/>
      <c r="Y143" s="1050"/>
      <c r="Z143" s="1050"/>
      <c r="AA143" s="1050"/>
      <c r="AB143" s="1046"/>
      <c r="AC143" s="1028"/>
      <c r="AD143" s="1046">
        <f t="shared" si="4"/>
        <v>0</v>
      </c>
      <c r="AE143" s="1028"/>
      <c r="AF143" s="1028"/>
      <c r="AG143" s="1028"/>
    </row>
    <row r="144" spans="1:33" s="1024" customFormat="1" hidden="1">
      <c r="A144" s="937" t="s">
        <v>995</v>
      </c>
      <c r="B144" s="937" t="s">
        <v>470</v>
      </c>
      <c r="C144" s="947">
        <f>'[1]Аукцион '!AD196</f>
        <v>0</v>
      </c>
      <c r="D144" s="349"/>
      <c r="E144" s="946" t="e">
        <f>H144/C144</f>
        <v>#DIV/0!</v>
      </c>
      <c r="F144" s="947"/>
      <c r="G144" s="940">
        <f t="shared" ref="G144:G149" si="8">H144+I144</f>
        <v>0</v>
      </c>
      <c r="H144" s="940">
        <f>'[1]Аукцион '!AE196+'[1]Аукцион '!AK196</f>
        <v>0</v>
      </c>
      <c r="I144" s="940">
        <v>0</v>
      </c>
      <c r="J144" s="1049"/>
      <c r="K144" s="1050"/>
      <c r="L144" s="1050"/>
      <c r="M144" s="1050"/>
      <c r="N144" s="1045"/>
      <c r="O144" s="1050"/>
      <c r="P144" s="1050"/>
      <c r="Q144" s="1050"/>
      <c r="R144" s="1050"/>
      <c r="S144" s="1049"/>
      <c r="T144" s="1050"/>
      <c r="U144" s="1050"/>
      <c r="V144" s="1050"/>
      <c r="W144" s="1049"/>
      <c r="X144" s="1050"/>
      <c r="Y144" s="1050"/>
      <c r="Z144" s="1050"/>
      <c r="AA144" s="1050"/>
      <c r="AB144" s="1046"/>
      <c r="AC144" s="1028"/>
      <c r="AD144" s="1046">
        <f t="shared" si="4"/>
        <v>0</v>
      </c>
      <c r="AE144" s="1028"/>
      <c r="AF144" s="1028"/>
      <c r="AG144" s="1028"/>
    </row>
    <row r="145" spans="1:33" s="1024" customFormat="1" hidden="1">
      <c r="A145" s="937" t="s">
        <v>996</v>
      </c>
      <c r="B145" s="937" t="s">
        <v>470</v>
      </c>
      <c r="C145" s="947">
        <f>'[1]Аукцион '!AF196</f>
        <v>0</v>
      </c>
      <c r="D145" s="349"/>
      <c r="E145" s="946" t="e">
        <f>H145/C145</f>
        <v>#DIV/0!</v>
      </c>
      <c r="F145" s="947"/>
      <c r="G145" s="940">
        <f t="shared" si="8"/>
        <v>0</v>
      </c>
      <c r="H145" s="940">
        <f>'[1]Аукцион '!AG196+'[1]Аукцион '!AM196</f>
        <v>0</v>
      </c>
      <c r="I145" s="940">
        <v>0</v>
      </c>
      <c r="J145" s="1049"/>
      <c r="K145" s="1050"/>
      <c r="L145" s="1050"/>
      <c r="M145" s="1050"/>
      <c r="N145" s="1045"/>
      <c r="O145" s="1050"/>
      <c r="P145" s="1050"/>
      <c r="Q145" s="1050"/>
      <c r="R145" s="1050"/>
      <c r="S145" s="1049"/>
      <c r="T145" s="1050"/>
      <c r="U145" s="1050"/>
      <c r="V145" s="1050"/>
      <c r="W145" s="1049"/>
      <c r="X145" s="1050"/>
      <c r="Y145" s="1050"/>
      <c r="Z145" s="1050"/>
      <c r="AA145" s="1050"/>
      <c r="AB145" s="1046"/>
      <c r="AC145" s="1028"/>
      <c r="AD145" s="1046">
        <f t="shared" si="4"/>
        <v>0</v>
      </c>
      <c r="AE145" s="1028"/>
      <c r="AF145" s="1028"/>
      <c r="AG145" s="1028"/>
    </row>
    <row r="146" spans="1:33" s="1024" customFormat="1" ht="24" hidden="1">
      <c r="A146" s="937" t="s">
        <v>1014</v>
      </c>
      <c r="B146" s="937" t="s">
        <v>25</v>
      </c>
      <c r="C146" s="947">
        <v>4</v>
      </c>
      <c r="D146" s="349"/>
      <c r="E146" s="946">
        <f>H146/C146</f>
        <v>0</v>
      </c>
      <c r="F146" s="947"/>
      <c r="G146" s="940">
        <f t="shared" si="8"/>
        <v>0</v>
      </c>
      <c r="H146" s="940">
        <f>'[1]Аукцион '!BE196+'[1]Аукцион '!BG196</f>
        <v>0</v>
      </c>
      <c r="I146" s="940">
        <v>0</v>
      </c>
      <c r="J146" s="1049"/>
      <c r="K146" s="1050"/>
      <c r="L146" s="1050"/>
      <c r="M146" s="1050"/>
      <c r="N146" s="1045"/>
      <c r="O146" s="1050"/>
      <c r="P146" s="1050"/>
      <c r="Q146" s="1050"/>
      <c r="R146" s="1050"/>
      <c r="S146" s="1049"/>
      <c r="T146" s="1050"/>
      <c r="U146" s="1050"/>
      <c r="V146" s="1050"/>
      <c r="W146" s="1049"/>
      <c r="X146" s="1050"/>
      <c r="Y146" s="1050"/>
      <c r="Z146" s="1050"/>
      <c r="AA146" s="1050"/>
      <c r="AB146" s="1046"/>
      <c r="AC146" s="1028"/>
      <c r="AD146" s="1046">
        <f t="shared" si="4"/>
        <v>0</v>
      </c>
      <c r="AE146" s="1028"/>
      <c r="AF146" s="1028"/>
      <c r="AG146" s="1028"/>
    </row>
    <row r="147" spans="1:33" s="1024" customFormat="1" hidden="1">
      <c r="A147" s="948" t="s">
        <v>1021</v>
      </c>
      <c r="B147" s="937" t="s">
        <v>470</v>
      </c>
      <c r="C147" s="947">
        <f>'[1]Аукцион '!AH196</f>
        <v>0</v>
      </c>
      <c r="D147" s="349"/>
      <c r="E147" s="946" t="e">
        <f>H147/C147</f>
        <v>#DIV/0!</v>
      </c>
      <c r="F147" s="947"/>
      <c r="G147" s="940">
        <f t="shared" si="8"/>
        <v>0</v>
      </c>
      <c r="H147" s="940">
        <f>'[1]Аукцион '!AI196</f>
        <v>0</v>
      </c>
      <c r="I147" s="940">
        <v>0</v>
      </c>
      <c r="J147" s="1049"/>
      <c r="K147" s="1050"/>
      <c r="L147" s="1050"/>
      <c r="M147" s="1050"/>
      <c r="N147" s="1045"/>
      <c r="O147" s="1050"/>
      <c r="P147" s="1050"/>
      <c r="Q147" s="1050"/>
      <c r="R147" s="1050"/>
      <c r="S147" s="1049"/>
      <c r="T147" s="1050"/>
      <c r="U147" s="1050"/>
      <c r="V147" s="1050"/>
      <c r="W147" s="1049"/>
      <c r="X147" s="1050"/>
      <c r="Y147" s="1050"/>
      <c r="Z147" s="1050"/>
      <c r="AA147" s="1050"/>
      <c r="AB147" s="1046"/>
      <c r="AC147" s="1028"/>
      <c r="AD147" s="1046">
        <f t="shared" si="4"/>
        <v>0</v>
      </c>
      <c r="AE147" s="1028"/>
      <c r="AF147" s="1028"/>
      <c r="AG147" s="1028"/>
    </row>
    <row r="148" spans="1:33" s="1024" customFormat="1" hidden="1">
      <c r="A148" s="936" t="s">
        <v>1005</v>
      </c>
      <c r="B148" s="937" t="s">
        <v>25</v>
      </c>
      <c r="C148" s="947">
        <f>'[1]Аукцион '!AN196</f>
        <v>0</v>
      </c>
      <c r="D148" s="349"/>
      <c r="E148" s="946" t="e">
        <f>H148/C148-0.01</f>
        <v>#DIV/0!</v>
      </c>
      <c r="F148" s="947"/>
      <c r="G148" s="940">
        <f t="shared" si="8"/>
        <v>0</v>
      </c>
      <c r="H148" s="940">
        <f>'[1]Аукцион '!AO196</f>
        <v>0</v>
      </c>
      <c r="I148" s="940">
        <v>0</v>
      </c>
      <c r="J148" s="1049"/>
      <c r="K148" s="1050"/>
      <c r="L148" s="1050"/>
      <c r="M148" s="1050"/>
      <c r="N148" s="1045"/>
      <c r="O148" s="1050"/>
      <c r="P148" s="1050"/>
      <c r="Q148" s="1050"/>
      <c r="R148" s="1050"/>
      <c r="S148" s="1049"/>
      <c r="T148" s="1050"/>
      <c r="U148" s="1050"/>
      <c r="V148" s="1050"/>
      <c r="W148" s="1049"/>
      <c r="X148" s="1050"/>
      <c r="Y148" s="1050"/>
      <c r="Z148" s="1050"/>
      <c r="AA148" s="1050"/>
      <c r="AB148" s="1046"/>
      <c r="AC148" s="1028"/>
      <c r="AD148" s="1046">
        <f t="shared" si="4"/>
        <v>0</v>
      </c>
      <c r="AE148" s="1028"/>
      <c r="AF148" s="1028"/>
      <c r="AG148" s="1028"/>
    </row>
    <row r="149" spans="1:33" s="1024" customFormat="1" hidden="1">
      <c r="A149" s="952" t="s">
        <v>1026</v>
      </c>
      <c r="B149" s="937" t="s">
        <v>470</v>
      </c>
      <c r="C149" s="947">
        <f>'[1]Аукцион '!AZ196</f>
        <v>0</v>
      </c>
      <c r="D149" s="349"/>
      <c r="E149" s="946" t="e">
        <f>H149/C149</f>
        <v>#DIV/0!</v>
      </c>
      <c r="F149" s="947"/>
      <c r="G149" s="940">
        <f t="shared" si="8"/>
        <v>0</v>
      </c>
      <c r="H149" s="940">
        <f>'[1]Аукцион '!BA196</f>
        <v>0</v>
      </c>
      <c r="I149" s="940">
        <v>0</v>
      </c>
      <c r="J149" s="1049"/>
      <c r="K149" s="1050"/>
      <c r="L149" s="1050"/>
      <c r="M149" s="1050"/>
      <c r="N149" s="1045"/>
      <c r="O149" s="1050"/>
      <c r="P149" s="1050"/>
      <c r="Q149" s="1050"/>
      <c r="R149" s="1050"/>
      <c r="S149" s="1049"/>
      <c r="T149" s="1050"/>
      <c r="U149" s="1050"/>
      <c r="V149" s="1050"/>
      <c r="W149" s="1049"/>
      <c r="X149" s="1050"/>
      <c r="Y149" s="1050"/>
      <c r="Z149" s="1050"/>
      <c r="AA149" s="1050"/>
      <c r="AB149" s="1046"/>
      <c r="AC149" s="1028"/>
      <c r="AD149" s="1046">
        <f t="shared" si="4"/>
        <v>0</v>
      </c>
      <c r="AE149" s="1028"/>
      <c r="AF149" s="1028"/>
      <c r="AG149" s="1028"/>
    </row>
    <row r="150" spans="1:33" s="1024" customFormat="1" hidden="1">
      <c r="A150" s="349"/>
      <c r="B150" s="349"/>
      <c r="C150" s="349"/>
      <c r="D150" s="349"/>
      <c r="E150" s="946"/>
      <c r="F150" s="947"/>
      <c r="G150" s="940">
        <f>SUM(G141:G149)</f>
        <v>0</v>
      </c>
      <c r="H150" s="941">
        <f>SUM(H141:H149)</f>
        <v>0</v>
      </c>
      <c r="I150" s="941">
        <f>SUM(I141:I149)</f>
        <v>0</v>
      </c>
      <c r="J150" s="1049"/>
      <c r="K150" s="1049"/>
      <c r="L150" s="1049"/>
      <c r="M150" s="1049"/>
      <c r="N150" s="1045"/>
      <c r="O150" s="1049"/>
      <c r="P150" s="1049"/>
      <c r="Q150" s="1049"/>
      <c r="R150" s="1049"/>
      <c r="S150" s="1049"/>
      <c r="T150" s="1049"/>
      <c r="U150" s="1049"/>
      <c r="V150" s="1049"/>
      <c r="W150" s="1049"/>
      <c r="X150" s="1049"/>
      <c r="Y150" s="1049"/>
      <c r="Z150" s="1049"/>
      <c r="AA150" s="1049"/>
      <c r="AB150" s="1046"/>
      <c r="AC150" s="1028"/>
      <c r="AD150" s="1046">
        <f t="shared" si="4"/>
        <v>0</v>
      </c>
      <c r="AE150" s="1028"/>
      <c r="AF150" s="1028"/>
      <c r="AG150" s="1028"/>
    </row>
    <row r="151" spans="1:33" s="1048" customFormat="1" ht="24" hidden="1">
      <c r="A151" s="942" t="s">
        <v>1027</v>
      </c>
      <c r="B151" s="953" t="s">
        <v>999</v>
      </c>
      <c r="C151" s="954">
        <f>'[1]Аукцион '!AR197</f>
        <v>0</v>
      </c>
      <c r="D151" s="955"/>
      <c r="E151" s="956" t="e">
        <f t="shared" ref="E151:E156" si="9">H151/C151</f>
        <v>#DIV/0!</v>
      </c>
      <c r="F151" s="944"/>
      <c r="G151" s="945">
        <f t="shared" ref="G151:G154" si="10">H151+I151</f>
        <v>0</v>
      </c>
      <c r="H151" s="945">
        <f>'[1]Аукцион '!L197</f>
        <v>0</v>
      </c>
      <c r="I151" s="945">
        <v>0</v>
      </c>
      <c r="J151" s="1049"/>
      <c r="K151" s="1049"/>
      <c r="L151" s="1049"/>
      <c r="M151" s="1049"/>
      <c r="N151" s="1045"/>
      <c r="O151" s="1049"/>
      <c r="P151" s="1049"/>
      <c r="Q151" s="1049"/>
      <c r="R151" s="1049"/>
      <c r="S151" s="1049"/>
      <c r="T151" s="1049"/>
      <c r="U151" s="1049"/>
      <c r="V151" s="1049"/>
      <c r="W151" s="1049"/>
      <c r="X151" s="1049"/>
      <c r="Y151" s="1049"/>
      <c r="Z151" s="1049"/>
      <c r="AA151" s="1049"/>
      <c r="AB151" s="1046"/>
      <c r="AC151" s="1047"/>
      <c r="AD151" s="1046">
        <f t="shared" si="4"/>
        <v>0</v>
      </c>
      <c r="AE151" s="1047"/>
      <c r="AF151" s="1047"/>
      <c r="AG151" s="1047"/>
    </row>
    <row r="152" spans="1:33" s="1048" customFormat="1" ht="36" hidden="1">
      <c r="A152" s="942" t="s">
        <v>1028</v>
      </c>
      <c r="B152" s="953" t="s">
        <v>999</v>
      </c>
      <c r="C152" s="954">
        <f>'[1]Аукцион '!AR199</f>
        <v>0</v>
      </c>
      <c r="D152" s="955"/>
      <c r="E152" s="956" t="e">
        <f t="shared" si="9"/>
        <v>#DIV/0!</v>
      </c>
      <c r="F152" s="944"/>
      <c r="G152" s="945">
        <f t="shared" si="10"/>
        <v>0</v>
      </c>
      <c r="H152" s="945">
        <f>'[1]Аукцион '!L199</f>
        <v>0</v>
      </c>
      <c r="I152" s="945">
        <v>0</v>
      </c>
      <c r="J152" s="1049"/>
      <c r="K152" s="1049"/>
      <c r="L152" s="1049"/>
      <c r="M152" s="1049"/>
      <c r="N152" s="1045"/>
      <c r="O152" s="1049"/>
      <c r="P152" s="1049"/>
      <c r="Q152" s="1049"/>
      <c r="R152" s="1049"/>
      <c r="S152" s="1049"/>
      <c r="T152" s="1049"/>
      <c r="U152" s="1049"/>
      <c r="V152" s="1049"/>
      <c r="W152" s="1049"/>
      <c r="X152" s="1049"/>
      <c r="Y152" s="1049"/>
      <c r="Z152" s="1049"/>
      <c r="AA152" s="1049"/>
      <c r="AB152" s="1046"/>
      <c r="AC152" s="1047"/>
      <c r="AD152" s="1046">
        <f t="shared" si="4"/>
        <v>0</v>
      </c>
      <c r="AE152" s="1047"/>
      <c r="AF152" s="1047"/>
      <c r="AG152" s="1047"/>
    </row>
    <row r="153" spans="1:33" s="1048" customFormat="1" ht="48" hidden="1">
      <c r="A153" s="942" t="s">
        <v>1029</v>
      </c>
      <c r="B153" s="953" t="s">
        <v>999</v>
      </c>
      <c r="C153" s="954">
        <f>'[1]Аукцион '!AR200</f>
        <v>0</v>
      </c>
      <c r="D153" s="955"/>
      <c r="E153" s="956" t="e">
        <f t="shared" si="9"/>
        <v>#DIV/0!</v>
      </c>
      <c r="F153" s="944"/>
      <c r="G153" s="945">
        <f t="shared" si="10"/>
        <v>0</v>
      </c>
      <c r="H153" s="945">
        <f>'[1]Аукцион '!L200</f>
        <v>0</v>
      </c>
      <c r="I153" s="945">
        <v>0</v>
      </c>
      <c r="J153" s="1049"/>
      <c r="K153" s="1049"/>
      <c r="L153" s="1049"/>
      <c r="M153" s="1049"/>
      <c r="N153" s="1045"/>
      <c r="O153" s="1049"/>
      <c r="P153" s="1049"/>
      <c r="Q153" s="1049"/>
      <c r="R153" s="1049"/>
      <c r="S153" s="1049"/>
      <c r="T153" s="1049"/>
      <c r="U153" s="1049"/>
      <c r="V153" s="1049"/>
      <c r="W153" s="1049"/>
      <c r="X153" s="1049"/>
      <c r="Y153" s="1049"/>
      <c r="Z153" s="1049"/>
      <c r="AA153" s="1049"/>
      <c r="AB153" s="1046"/>
      <c r="AC153" s="1047"/>
      <c r="AD153" s="1046">
        <f t="shared" si="4"/>
        <v>0</v>
      </c>
      <c r="AE153" s="1047"/>
      <c r="AF153" s="1047"/>
      <c r="AG153" s="1047"/>
    </row>
    <row r="154" spans="1:33" s="1048" customFormat="1" ht="48" hidden="1">
      <c r="A154" s="942" t="s">
        <v>1030</v>
      </c>
      <c r="B154" s="953" t="s">
        <v>999</v>
      </c>
      <c r="C154" s="954">
        <f>'[1]Аукцион '!AR201</f>
        <v>0</v>
      </c>
      <c r="D154" s="955"/>
      <c r="E154" s="956" t="e">
        <f t="shared" si="9"/>
        <v>#DIV/0!</v>
      </c>
      <c r="F154" s="944"/>
      <c r="G154" s="945">
        <f t="shared" si="10"/>
        <v>0</v>
      </c>
      <c r="H154" s="945">
        <f>'[1]Аукцион '!L201</f>
        <v>0</v>
      </c>
      <c r="I154" s="945">
        <v>0</v>
      </c>
      <c r="J154" s="1049"/>
      <c r="K154" s="1049"/>
      <c r="L154" s="1049"/>
      <c r="M154" s="1049"/>
      <c r="N154" s="1045"/>
      <c r="O154" s="1049"/>
      <c r="P154" s="1049"/>
      <c r="Q154" s="1049"/>
      <c r="R154" s="1049"/>
      <c r="S154" s="1049"/>
      <c r="T154" s="1049"/>
      <c r="U154" s="1049"/>
      <c r="V154" s="1049"/>
      <c r="W154" s="1049"/>
      <c r="X154" s="1049"/>
      <c r="Y154" s="1049"/>
      <c r="Z154" s="1049"/>
      <c r="AA154" s="1049"/>
      <c r="AB154" s="1046"/>
      <c r="AC154" s="1047"/>
      <c r="AD154" s="1046">
        <f t="shared" si="4"/>
        <v>0</v>
      </c>
      <c r="AE154" s="1047"/>
      <c r="AF154" s="1047"/>
      <c r="AG154" s="1047"/>
    </row>
    <row r="155" spans="1:33" s="1048" customFormat="1" ht="48" hidden="1">
      <c r="A155" s="942" t="s">
        <v>1031</v>
      </c>
      <c r="B155" s="953" t="s">
        <v>999</v>
      </c>
      <c r="C155" s="954">
        <f>'[1]Аукцион '!AR202</f>
        <v>0</v>
      </c>
      <c r="D155" s="955"/>
      <c r="E155" s="956" t="e">
        <f t="shared" si="9"/>
        <v>#DIV/0!</v>
      </c>
      <c r="F155" s="944"/>
      <c r="G155" s="945">
        <f>H155+I155</f>
        <v>0</v>
      </c>
      <c r="H155" s="945">
        <f>'[1]Аукцион '!L202</f>
        <v>0</v>
      </c>
      <c r="I155" s="945">
        <v>0</v>
      </c>
      <c r="J155" s="1049"/>
      <c r="K155" s="1049"/>
      <c r="L155" s="1049"/>
      <c r="M155" s="1049"/>
      <c r="N155" s="1045"/>
      <c r="O155" s="1049"/>
      <c r="P155" s="1049"/>
      <c r="Q155" s="1049"/>
      <c r="R155" s="1049"/>
      <c r="S155" s="1049"/>
      <c r="T155" s="1049"/>
      <c r="U155" s="1049"/>
      <c r="V155" s="1049"/>
      <c r="W155" s="1049"/>
      <c r="X155" s="1049"/>
      <c r="Y155" s="1049"/>
      <c r="Z155" s="1049"/>
      <c r="AA155" s="1049"/>
      <c r="AB155" s="1046"/>
      <c r="AC155" s="1047"/>
      <c r="AD155" s="1046">
        <f t="shared" si="4"/>
        <v>0</v>
      </c>
      <c r="AE155" s="1047"/>
      <c r="AF155" s="1047"/>
      <c r="AG155" s="1047"/>
    </row>
    <row r="156" spans="1:33" s="1048" customFormat="1" ht="48" hidden="1">
      <c r="A156" s="942" t="s">
        <v>1032</v>
      </c>
      <c r="B156" s="953" t="s">
        <v>999</v>
      </c>
      <c r="C156" s="954">
        <f>'[1]Аукцион '!AR203</f>
        <v>0</v>
      </c>
      <c r="D156" s="955"/>
      <c r="E156" s="956" t="e">
        <f t="shared" si="9"/>
        <v>#DIV/0!</v>
      </c>
      <c r="F156" s="944"/>
      <c r="G156" s="945">
        <f t="shared" ref="G156:G159" si="11">H156+I156</f>
        <v>0</v>
      </c>
      <c r="H156" s="945">
        <f>'[1]Аукцион '!L203</f>
        <v>0</v>
      </c>
      <c r="I156" s="945">
        <v>0</v>
      </c>
      <c r="J156" s="1049"/>
      <c r="K156" s="1049"/>
      <c r="L156" s="1049"/>
      <c r="M156" s="1049"/>
      <c r="N156" s="1045"/>
      <c r="O156" s="1049"/>
      <c r="P156" s="1049"/>
      <c r="Q156" s="1049"/>
      <c r="R156" s="1049"/>
      <c r="S156" s="1049"/>
      <c r="T156" s="1049"/>
      <c r="U156" s="1049"/>
      <c r="V156" s="1049"/>
      <c r="W156" s="1049"/>
      <c r="X156" s="1049"/>
      <c r="Y156" s="1049"/>
      <c r="Z156" s="1049"/>
      <c r="AA156" s="1049"/>
      <c r="AB156" s="1046"/>
      <c r="AC156" s="1047"/>
      <c r="AD156" s="1046">
        <f t="shared" si="4"/>
        <v>0</v>
      </c>
      <c r="AE156" s="1047"/>
      <c r="AF156" s="1047"/>
      <c r="AG156" s="1047"/>
    </row>
    <row r="157" spans="1:33" s="1048" customFormat="1" ht="60" hidden="1">
      <c r="A157" s="942" t="s">
        <v>1033</v>
      </c>
      <c r="B157" s="953" t="s">
        <v>25</v>
      </c>
      <c r="C157" s="954">
        <f>'[1]Аукцион '!AN204</f>
        <v>0</v>
      </c>
      <c r="D157" s="955"/>
      <c r="E157" s="956" t="e">
        <f>H157/C157</f>
        <v>#DIV/0!</v>
      </c>
      <c r="F157" s="944"/>
      <c r="G157" s="945">
        <f t="shared" si="11"/>
        <v>0</v>
      </c>
      <c r="H157" s="945">
        <f>'[1]Аукцион '!L204</f>
        <v>0</v>
      </c>
      <c r="I157" s="945">
        <v>0</v>
      </c>
      <c r="J157" s="1049"/>
      <c r="K157" s="1049"/>
      <c r="L157" s="1049"/>
      <c r="M157" s="1049"/>
      <c r="N157" s="1045"/>
      <c r="O157" s="1049"/>
      <c r="P157" s="1049"/>
      <c r="Q157" s="1049"/>
      <c r="R157" s="1049"/>
      <c r="S157" s="1049"/>
      <c r="T157" s="1049"/>
      <c r="U157" s="1049"/>
      <c r="V157" s="1049"/>
      <c r="W157" s="1049"/>
      <c r="X157" s="1049"/>
      <c r="Y157" s="1049"/>
      <c r="Z157" s="1049"/>
      <c r="AA157" s="1049"/>
      <c r="AB157" s="1046"/>
      <c r="AC157" s="1047"/>
      <c r="AD157" s="1046">
        <f t="shared" si="4"/>
        <v>0</v>
      </c>
      <c r="AE157" s="1047"/>
      <c r="AF157" s="1047"/>
      <c r="AG157" s="1047"/>
    </row>
    <row r="158" spans="1:33" s="1048" customFormat="1" ht="48" hidden="1">
      <c r="A158" s="957" t="s">
        <v>1034</v>
      </c>
      <c r="B158" s="955" t="s">
        <v>999</v>
      </c>
      <c r="C158" s="944">
        <v>67.2</v>
      </c>
      <c r="D158" s="955"/>
      <c r="E158" s="956">
        <f>H158/C158</f>
        <v>0</v>
      </c>
      <c r="F158" s="944"/>
      <c r="G158" s="945">
        <f t="shared" si="11"/>
        <v>0</v>
      </c>
      <c r="H158" s="945">
        <f>'[1]Аукцион '!AS205</f>
        <v>0</v>
      </c>
      <c r="I158" s="945">
        <v>0</v>
      </c>
      <c r="J158" s="1053"/>
      <c r="K158" s="1053"/>
      <c r="L158" s="1053"/>
      <c r="M158" s="1053"/>
      <c r="N158" s="1045"/>
      <c r="O158" s="1053"/>
      <c r="P158" s="1053"/>
      <c r="Q158" s="1053"/>
      <c r="R158" s="1053"/>
      <c r="S158" s="1053"/>
      <c r="T158" s="1053"/>
      <c r="U158" s="1053"/>
      <c r="V158" s="1053"/>
      <c r="W158" s="1053"/>
      <c r="X158" s="1053"/>
      <c r="Y158" s="1053"/>
      <c r="Z158" s="1053"/>
      <c r="AA158" s="1053"/>
      <c r="AB158" s="1046"/>
      <c r="AC158" s="1047"/>
      <c r="AD158" s="1046"/>
      <c r="AE158" s="1047"/>
      <c r="AF158" s="1047"/>
      <c r="AG158" s="1047"/>
    </row>
    <row r="159" spans="1:33" s="1048" customFormat="1" ht="24" hidden="1">
      <c r="A159" s="957" t="s">
        <v>1035</v>
      </c>
      <c r="B159" s="955" t="s">
        <v>1036</v>
      </c>
      <c r="C159" s="944">
        <v>145</v>
      </c>
      <c r="D159" s="955"/>
      <c r="E159" s="956">
        <f>H159/C159</f>
        <v>0</v>
      </c>
      <c r="F159" s="944"/>
      <c r="G159" s="945">
        <f t="shared" si="11"/>
        <v>0</v>
      </c>
      <c r="H159" s="945">
        <f>'[1]Аукцион '!AQ206</f>
        <v>0</v>
      </c>
      <c r="I159" s="945">
        <v>0</v>
      </c>
      <c r="J159" s="1053"/>
      <c r="K159" s="1053"/>
      <c r="L159" s="1053"/>
      <c r="M159" s="1053"/>
      <c r="N159" s="1045"/>
      <c r="O159" s="1053"/>
      <c r="P159" s="1053"/>
      <c r="Q159" s="1053"/>
      <c r="R159" s="1053"/>
      <c r="S159" s="1053"/>
      <c r="T159" s="1053"/>
      <c r="U159" s="1053"/>
      <c r="V159" s="1053"/>
      <c r="W159" s="1053"/>
      <c r="X159" s="1053"/>
      <c r="Y159" s="1053"/>
      <c r="Z159" s="1053"/>
      <c r="AA159" s="1053"/>
      <c r="AB159" s="1046"/>
      <c r="AC159" s="1047"/>
      <c r="AD159" s="1046"/>
      <c r="AE159" s="1047"/>
      <c r="AF159" s="1047"/>
      <c r="AG159" s="1047"/>
    </row>
    <row r="160" spans="1:33" s="1048" customFormat="1" hidden="1">
      <c r="A160" s="958"/>
      <c r="B160" s="959"/>
      <c r="C160" s="960"/>
      <c r="D160" s="920"/>
      <c r="E160" s="960"/>
      <c r="F160" s="961"/>
      <c r="G160" s="962"/>
      <c r="H160" s="962"/>
      <c r="I160" s="962"/>
      <c r="J160" s="1053"/>
      <c r="K160" s="1053"/>
      <c r="L160" s="1053"/>
      <c r="M160" s="1053"/>
      <c r="N160" s="1045"/>
      <c r="O160" s="1053"/>
      <c r="P160" s="1053"/>
      <c r="Q160" s="1053"/>
      <c r="R160" s="1053"/>
      <c r="S160" s="1053"/>
      <c r="T160" s="1053"/>
      <c r="U160" s="1053"/>
      <c r="V160" s="1053"/>
      <c r="W160" s="1053"/>
      <c r="X160" s="1053"/>
      <c r="Y160" s="1053"/>
      <c r="Z160" s="1053"/>
      <c r="AA160" s="1053"/>
      <c r="AB160" s="1046"/>
      <c r="AC160" s="1047"/>
      <c r="AD160" s="1046"/>
      <c r="AE160" s="1047"/>
      <c r="AF160" s="1047"/>
      <c r="AG160" s="1047"/>
    </row>
    <row r="161" spans="1:33" s="1048" customFormat="1" hidden="1">
      <c r="A161" s="958"/>
      <c r="B161" s="959"/>
      <c r="C161" s="960"/>
      <c r="D161" s="920"/>
      <c r="E161" s="960"/>
      <c r="F161" s="961"/>
      <c r="G161" s="962"/>
      <c r="H161" s="962"/>
      <c r="I161" s="962"/>
      <c r="J161" s="1053"/>
      <c r="K161" s="1053"/>
      <c r="L161" s="1053"/>
      <c r="M161" s="1053"/>
      <c r="N161" s="1045"/>
      <c r="O161" s="1053"/>
      <c r="P161" s="1053"/>
      <c r="Q161" s="1053"/>
      <c r="R161" s="1053"/>
      <c r="S161" s="1053"/>
      <c r="T161" s="1053"/>
      <c r="U161" s="1053"/>
      <c r="V161" s="1053"/>
      <c r="W161" s="1053"/>
      <c r="X161" s="1053"/>
      <c r="Y161" s="1053"/>
      <c r="Z161" s="1053"/>
      <c r="AA161" s="1053"/>
      <c r="AB161" s="1046"/>
      <c r="AC161" s="1047"/>
      <c r="AD161" s="1046"/>
      <c r="AE161" s="1047"/>
      <c r="AF161" s="1047"/>
      <c r="AG161" s="1047"/>
    </row>
    <row r="162" spans="1:33" s="1048" customFormat="1" hidden="1">
      <c r="A162" s="958"/>
      <c r="B162" s="959"/>
      <c r="C162" s="960"/>
      <c r="D162" s="920"/>
      <c r="E162" s="960"/>
      <c r="F162" s="961"/>
      <c r="G162" s="962"/>
      <c r="H162" s="962"/>
      <c r="I162" s="962"/>
      <c r="J162" s="1053"/>
      <c r="K162" s="1053"/>
      <c r="L162" s="1053"/>
      <c r="M162" s="1053"/>
      <c r="N162" s="1045"/>
      <c r="O162" s="1053"/>
      <c r="P162" s="1053"/>
      <c r="Q162" s="1053"/>
      <c r="R162" s="1053"/>
      <c r="S162" s="1053"/>
      <c r="T162" s="1053"/>
      <c r="U162" s="1053"/>
      <c r="V162" s="1053"/>
      <c r="W162" s="1053"/>
      <c r="X162" s="1053"/>
      <c r="Y162" s="1053"/>
      <c r="Z162" s="1053"/>
      <c r="AA162" s="1053"/>
      <c r="AB162" s="1046"/>
      <c r="AC162" s="1047"/>
      <c r="AD162" s="1046"/>
      <c r="AE162" s="1047"/>
      <c r="AF162" s="1047"/>
      <c r="AG162" s="1047"/>
    </row>
    <row r="163" spans="1:33" s="1048" customFormat="1" hidden="1">
      <c r="A163" s="958"/>
      <c r="B163" s="959"/>
      <c r="C163" s="960"/>
      <c r="D163" s="920"/>
      <c r="E163" s="960"/>
      <c r="F163" s="961"/>
      <c r="G163" s="962"/>
      <c r="H163" s="962"/>
      <c r="I163" s="962"/>
      <c r="J163" s="1053"/>
      <c r="K163" s="1053"/>
      <c r="L163" s="1053"/>
      <c r="M163" s="1053"/>
      <c r="N163" s="1045"/>
      <c r="O163" s="1053"/>
      <c r="P163" s="1053"/>
      <c r="Q163" s="1053"/>
      <c r="R163" s="1053"/>
      <c r="S163" s="1053"/>
      <c r="T163" s="1053"/>
      <c r="U163" s="1053"/>
      <c r="V163" s="1053"/>
      <c r="W163" s="1053"/>
      <c r="X163" s="1053"/>
      <c r="Y163" s="1053"/>
      <c r="Z163" s="1053"/>
      <c r="AA163" s="1053"/>
      <c r="AB163" s="1046"/>
      <c r="AC163" s="1047"/>
      <c r="AD163" s="1046"/>
      <c r="AE163" s="1047"/>
      <c r="AF163" s="1047"/>
      <c r="AG163" s="1047"/>
    </row>
    <row r="164" spans="1:33" s="1024" customFormat="1" ht="15.75" hidden="1" thickBot="1">
      <c r="A164" s="963"/>
      <c r="B164" s="963"/>
      <c r="C164" s="963"/>
      <c r="D164" s="963"/>
      <c r="E164" s="964"/>
      <c r="F164" s="964"/>
      <c r="G164" s="963"/>
      <c r="H164" s="963"/>
      <c r="I164" s="963"/>
      <c r="J164" s="927"/>
      <c r="K164" s="927"/>
      <c r="L164" s="927"/>
      <c r="M164" s="927"/>
      <c r="N164" s="1045"/>
      <c r="O164" s="927"/>
      <c r="P164" s="927"/>
      <c r="Q164" s="927"/>
      <c r="R164" s="927"/>
      <c r="S164" s="1052"/>
      <c r="T164" s="927"/>
      <c r="U164" s="927"/>
      <c r="V164" s="927"/>
      <c r="W164" s="1052"/>
      <c r="X164" s="927"/>
      <c r="Y164" s="927"/>
      <c r="Z164" s="927"/>
      <c r="AA164" s="927"/>
      <c r="AB164" s="1028"/>
      <c r="AC164" s="1028"/>
      <c r="AD164" s="1028"/>
      <c r="AE164" s="1028"/>
      <c r="AF164" s="1028"/>
      <c r="AG164" s="1028"/>
    </row>
    <row r="165" spans="1:33" s="1024" customFormat="1" ht="20.25" hidden="1" customHeight="1" thickBot="1">
      <c r="A165" s="1054" t="s">
        <v>1072</v>
      </c>
      <c r="B165" s="966"/>
      <c r="C165" s="966"/>
      <c r="D165" s="966"/>
      <c r="E165" s="967"/>
      <c r="F165" s="967"/>
      <c r="G165" s="968">
        <f>H165+I165</f>
        <v>3306476.2300000009</v>
      </c>
      <c r="H165" s="967">
        <f>'2015'!H145</f>
        <v>2825335.6700000009</v>
      </c>
      <c r="I165" s="967">
        <f>'2015'!I145</f>
        <v>481140.56</v>
      </c>
      <c r="J165" s="1055">
        <f>K165+L165+M165</f>
        <v>237926.63999999998</v>
      </c>
      <c r="K165" s="1056">
        <f>ROUND(I165/I27*K27*G24,2)</f>
        <v>81952.509999999995</v>
      </c>
      <c r="L165" s="1056">
        <f>ROUND(I165/I27*L27*G24,2)</f>
        <v>81952.509999999995</v>
      </c>
      <c r="M165" s="1056">
        <f>ROUND(I165/I27*M27*G24,2)</f>
        <v>74021.62</v>
      </c>
      <c r="N165" s="1057">
        <f>O165+P165+Q165+R165</f>
        <v>1100503.25</v>
      </c>
      <c r="O165" s="1056">
        <f>ROUND(I165/I27*O27*G24,2)</f>
        <v>66090.740000000005</v>
      </c>
      <c r="P165" s="1056">
        <f>ROUND(H165/H27*P27*G24,2)</f>
        <v>92633.96</v>
      </c>
      <c r="Q165" s="1056">
        <f>ROUND(H165/H27*Q27*G24,2)</f>
        <v>463169.78</v>
      </c>
      <c r="R165" s="1056">
        <f>ROUND(H165/H27*R27*G24,2)</f>
        <v>478608.77</v>
      </c>
      <c r="S165" s="1055">
        <f>T165+U165+V165</f>
        <v>1420387.32</v>
      </c>
      <c r="T165" s="1056">
        <f>ROUND(H165/H27*T27*G24,2)</f>
        <v>463169.78</v>
      </c>
      <c r="U165" s="1056">
        <f>ROUND(H165/H27*U27*G24,2)</f>
        <v>478608.77</v>
      </c>
      <c r="V165" s="1056">
        <f>ROUND(H165/H27*V27*G24,2)</f>
        <v>478608.77</v>
      </c>
      <c r="W165" s="1055">
        <f>X165+Y165+Z165+AA165</f>
        <v>547659</v>
      </c>
      <c r="X165" s="1056">
        <f>ROUND(H165/H27*X27*G24,2)</f>
        <v>370535.83</v>
      </c>
      <c r="Y165" s="1056">
        <f>ROUND(I165/I27*Y27*G24,2)</f>
        <v>15861.78</v>
      </c>
      <c r="Z165" s="1056">
        <f>ROUND(I165/I27*Z27*G24,2)</f>
        <v>81952.509999999995</v>
      </c>
      <c r="AA165" s="1056">
        <f>ROUND(I165/I27*AA27*G24,2)</f>
        <v>79308.88</v>
      </c>
      <c r="AB165" s="1028"/>
      <c r="AC165" s="1028"/>
      <c r="AD165" s="1028"/>
      <c r="AE165" s="1028"/>
      <c r="AF165" s="1028"/>
      <c r="AG165" s="1028"/>
    </row>
    <row r="166" spans="1:33" s="1024" customFormat="1" ht="37.5" hidden="1" thickBot="1">
      <c r="A166" s="969" t="s">
        <v>1037</v>
      </c>
      <c r="B166" s="970" t="s">
        <v>21</v>
      </c>
      <c r="C166" s="970">
        <v>0</v>
      </c>
      <c r="D166" s="970">
        <v>32</v>
      </c>
      <c r="E166" s="971">
        <v>0</v>
      </c>
      <c r="F166" s="971">
        <v>2091.46</v>
      </c>
      <c r="G166" s="972">
        <f>H166+I166</f>
        <v>85053.200000000012</v>
      </c>
      <c r="H166" s="972">
        <f>'2015'!G147+'2015'!G148</f>
        <v>22309.4</v>
      </c>
      <c r="I166" s="999">
        <f>'2015'!I146</f>
        <v>62743.8</v>
      </c>
      <c r="J166" s="1058">
        <f>K166+L166+M166</f>
        <v>62743.8</v>
      </c>
      <c r="K166" s="1058"/>
      <c r="L166" s="1058"/>
      <c r="M166" s="1058">
        <f>ROUND(I166*G24,2)</f>
        <v>62743.8</v>
      </c>
      <c r="N166" s="1072">
        <f>Q166</f>
        <v>22309.4</v>
      </c>
      <c r="O166" s="1058"/>
      <c r="P166" s="1058"/>
      <c r="Q166" s="1072">
        <f>H166</f>
        <v>22309.4</v>
      </c>
      <c r="R166" s="1058"/>
      <c r="S166" s="1058"/>
      <c r="T166" s="1058"/>
      <c r="U166" s="1058"/>
      <c r="V166" s="1058"/>
      <c r="W166" s="1058"/>
      <c r="X166" s="1058"/>
      <c r="Y166" s="1058"/>
      <c r="Z166" s="1058"/>
      <c r="AA166" s="1058"/>
      <c r="AB166" s="1028"/>
      <c r="AC166" s="1028"/>
      <c r="AD166" s="1028"/>
      <c r="AE166" s="1028"/>
      <c r="AF166" s="1028"/>
      <c r="AG166" s="1028"/>
    </row>
    <row r="167" spans="1:33" s="1024" customFormat="1" ht="35.25" customHeight="1" thickBot="1">
      <c r="A167" s="1070" t="s">
        <v>1073</v>
      </c>
      <c r="B167" s="974"/>
      <c r="C167" s="974"/>
      <c r="D167" s="974"/>
      <c r="E167" s="975"/>
      <c r="F167" s="1071"/>
      <c r="G167" s="968">
        <f t="shared" ref="G167:V167" si="12">G165+G166</f>
        <v>3391529.4300000011</v>
      </c>
      <c r="H167" s="1062">
        <f t="shared" si="12"/>
        <v>2847645.0700000008</v>
      </c>
      <c r="I167" s="968">
        <f t="shared" si="12"/>
        <v>543884.36</v>
      </c>
      <c r="J167" s="1063">
        <f t="shared" si="12"/>
        <v>300670.44</v>
      </c>
      <c r="K167" s="1029">
        <f t="shared" si="12"/>
        <v>81952.509999999995</v>
      </c>
      <c r="L167" s="1029">
        <f t="shared" si="12"/>
        <v>81952.509999999995</v>
      </c>
      <c r="M167" s="1029">
        <f t="shared" si="12"/>
        <v>136765.41999999998</v>
      </c>
      <c r="N167" s="1063">
        <f>N165+N166+0.01</f>
        <v>1122812.6599999999</v>
      </c>
      <c r="O167" s="1029">
        <f>O165+O166+0.01</f>
        <v>66090.75</v>
      </c>
      <c r="P167" s="1029">
        <f t="shared" si="12"/>
        <v>92633.96</v>
      </c>
      <c r="Q167" s="1029">
        <f t="shared" si="12"/>
        <v>485479.18000000005</v>
      </c>
      <c r="R167" s="1029">
        <f t="shared" si="12"/>
        <v>478608.77</v>
      </c>
      <c r="S167" s="1063">
        <f t="shared" si="12"/>
        <v>1420387.32</v>
      </c>
      <c r="T167" s="1029">
        <f t="shared" si="12"/>
        <v>463169.78</v>
      </c>
      <c r="U167" s="1029">
        <f t="shared" si="12"/>
        <v>478608.77</v>
      </c>
      <c r="V167" s="1029">
        <f t="shared" si="12"/>
        <v>478608.77</v>
      </c>
      <c r="W167" s="1063">
        <f>W165+W166+0.01</f>
        <v>547659.01</v>
      </c>
      <c r="X167" s="1029">
        <f>X165+X166+0.01</f>
        <v>370535.84</v>
      </c>
      <c r="Y167" s="1029">
        <f>Y165+Y166</f>
        <v>15861.78</v>
      </c>
      <c r="Z167" s="1029">
        <f>Z165+Z166</f>
        <v>81952.509999999995</v>
      </c>
      <c r="AA167" s="1029">
        <f>AA165+AA166</f>
        <v>79308.88</v>
      </c>
      <c r="AB167" s="1028"/>
      <c r="AC167" s="1028"/>
      <c r="AD167" s="1028"/>
      <c r="AE167" s="1028"/>
      <c r="AF167" s="1028"/>
      <c r="AG167" s="1028"/>
    </row>
    <row r="169" spans="1:33">
      <c r="G169" s="359"/>
      <c r="H169" s="359"/>
      <c r="I169" s="359"/>
    </row>
    <row r="170" spans="1:33">
      <c r="G170" s="359"/>
    </row>
    <row r="171" spans="1:33">
      <c r="G171" s="359"/>
    </row>
  </sheetData>
  <mergeCells count="28">
    <mergeCell ref="A5:I5"/>
    <mergeCell ref="A10:A12"/>
    <mergeCell ref="B10:B12"/>
    <mergeCell ref="C10:D11"/>
    <mergeCell ref="E10:F11"/>
    <mergeCell ref="G10:G12"/>
    <mergeCell ref="H10:I10"/>
    <mergeCell ref="J10:O10"/>
    <mergeCell ref="P10:X10"/>
    <mergeCell ref="Y10:AA10"/>
    <mergeCell ref="J11:J12"/>
    <mergeCell ref="N11:N12"/>
    <mergeCell ref="S11:S12"/>
    <mergeCell ref="W11:W12"/>
    <mergeCell ref="A21:I21"/>
    <mergeCell ref="A26:A28"/>
    <mergeCell ref="B26:B28"/>
    <mergeCell ref="C26:D27"/>
    <mergeCell ref="E26:F27"/>
    <mergeCell ref="G26:G28"/>
    <mergeCell ref="H26:I26"/>
    <mergeCell ref="J26:O26"/>
    <mergeCell ref="P26:X26"/>
    <mergeCell ref="Y26:AA26"/>
    <mergeCell ref="J27:J28"/>
    <mergeCell ref="N27:N28"/>
    <mergeCell ref="S27:S28"/>
    <mergeCell ref="W27:W28"/>
  </mergeCells>
  <pageMargins left="0" right="0" top="0" bottom="0" header="0.31496062992125984" footer="0.31496062992125984"/>
  <pageSetup paperSize="9" scale="6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4:BB24"/>
  <sheetViews>
    <sheetView workbookViewId="0">
      <selection activeCell="AD25" sqref="AD25"/>
    </sheetView>
  </sheetViews>
  <sheetFormatPr defaultRowHeight="15"/>
  <cols>
    <col min="1" max="1" width="11.7109375" customWidth="1"/>
    <col min="2" max="3" width="11.42578125" bestFit="1" customWidth="1"/>
    <col min="5" max="5" width="12.5703125" customWidth="1"/>
    <col min="8" max="8" width="10" bestFit="1" customWidth="1"/>
    <col min="9" max="9" width="11" customWidth="1"/>
    <col min="13" max="13" width="10" bestFit="1" customWidth="1"/>
    <col min="15" max="15" width="10" bestFit="1" customWidth="1"/>
    <col min="17" max="17" width="10.42578125" bestFit="1" customWidth="1"/>
    <col min="19" max="19" width="9.5703125" bestFit="1" customWidth="1"/>
    <col min="21" max="21" width="12.140625" bestFit="1" customWidth="1"/>
    <col min="22" max="22" width="9.5703125" bestFit="1" customWidth="1"/>
    <col min="24" max="24" width="10" bestFit="1" customWidth="1"/>
    <col min="26" max="26" width="10.42578125" bestFit="1" customWidth="1"/>
    <col min="28" max="28" width="10" bestFit="1" customWidth="1"/>
    <col min="30" max="30" width="11.28515625" bestFit="1" customWidth="1"/>
    <col min="32" max="32" width="11.28515625" bestFit="1" customWidth="1"/>
    <col min="36" max="36" width="9.5703125" bestFit="1" customWidth="1"/>
    <col min="38" max="38" width="12.7109375" customWidth="1"/>
    <col min="39" max="41" width="9.140625" hidden="1" customWidth="1"/>
    <col min="42" max="42" width="9" hidden="1" customWidth="1"/>
    <col min="43" max="43" width="7.140625" hidden="1" customWidth="1"/>
    <col min="44" max="44" width="7.7109375" hidden="1" customWidth="1"/>
    <col min="45" max="45" width="8.42578125" hidden="1" customWidth="1"/>
    <col min="46" max="46" width="13.5703125" hidden="1" customWidth="1"/>
  </cols>
  <sheetData>
    <row r="4" spans="1:54">
      <c r="A4" s="1074" t="s">
        <v>935</v>
      </c>
      <c r="B4" s="1074"/>
      <c r="C4" s="1074"/>
      <c r="D4" s="1074"/>
      <c r="E4" s="1074"/>
      <c r="F4" s="1074"/>
      <c r="G4" s="1074"/>
      <c r="H4" s="1074"/>
      <c r="I4" s="1074"/>
      <c r="J4" s="1074"/>
      <c r="K4" s="1074"/>
      <c r="L4" s="1074"/>
      <c r="M4" s="1074"/>
      <c r="N4" s="1074"/>
      <c r="O4" s="1074"/>
      <c r="P4" s="1074"/>
      <c r="Q4" s="1074"/>
      <c r="R4" s="1074"/>
      <c r="S4" s="1074"/>
      <c r="T4" s="1074"/>
      <c r="U4" s="1074"/>
      <c r="V4" s="1074"/>
      <c r="W4" s="1074"/>
      <c r="X4" s="1074"/>
      <c r="Y4" s="1074"/>
      <c r="Z4" s="1074"/>
      <c r="AA4" s="1074"/>
      <c r="AB4" s="1074"/>
      <c r="AC4" s="1074"/>
      <c r="AD4" s="1074"/>
      <c r="AE4" s="1074"/>
      <c r="AF4" s="1074"/>
      <c r="AG4" s="1074"/>
      <c r="AH4" s="1074"/>
      <c r="AI4" s="1074"/>
      <c r="AJ4" s="1074"/>
      <c r="AK4" s="1074"/>
      <c r="AL4" s="1074"/>
    </row>
    <row r="5" spans="1:54" ht="15.75" thickBot="1">
      <c r="A5" s="171"/>
      <c r="B5" s="171"/>
      <c r="C5" s="171"/>
      <c r="D5" s="171"/>
      <c r="E5" s="1075" t="s">
        <v>934</v>
      </c>
      <c r="F5" s="1075"/>
      <c r="G5" s="1075"/>
      <c r="H5" s="171">
        <v>1</v>
      </c>
      <c r="I5" s="171"/>
      <c r="J5" s="171"/>
      <c r="K5" s="171"/>
      <c r="L5" s="171"/>
      <c r="M5" s="171"/>
      <c r="N5" s="171"/>
      <c r="O5" s="171"/>
      <c r="P5" s="171"/>
      <c r="Q5" s="171"/>
      <c r="R5" s="171"/>
      <c r="S5" s="171"/>
      <c r="T5" s="171"/>
      <c r="U5" s="171"/>
      <c r="V5" s="171"/>
      <c r="W5" s="171"/>
      <c r="X5" s="171"/>
      <c r="Y5" s="171"/>
      <c r="Z5" s="171"/>
      <c r="AA5" s="171"/>
      <c r="AB5" s="171"/>
      <c r="AC5" s="171"/>
      <c r="AD5" s="171"/>
      <c r="AE5" s="171"/>
      <c r="AF5" s="171"/>
      <c r="AG5" s="171"/>
      <c r="AH5" s="171"/>
      <c r="AI5" s="171"/>
      <c r="AJ5" s="171"/>
      <c r="AK5" s="171"/>
      <c r="AL5" s="171"/>
    </row>
    <row r="6" spans="1:54" ht="15.75" thickBot="1">
      <c r="A6" s="1076" t="s">
        <v>445</v>
      </c>
      <c r="B6" s="1079" t="s">
        <v>446</v>
      </c>
      <c r="C6" s="1080" t="s">
        <v>447</v>
      </c>
      <c r="D6" s="1083" t="s">
        <v>448</v>
      </c>
      <c r="E6" s="1084"/>
      <c r="F6" s="1084"/>
      <c r="G6" s="1085"/>
      <c r="H6" s="1089" t="s">
        <v>543</v>
      </c>
      <c r="I6" s="1090"/>
      <c r="J6" s="1083" t="s">
        <v>473</v>
      </c>
      <c r="K6" s="1084"/>
      <c r="L6" s="1084"/>
      <c r="M6" s="1084"/>
      <c r="N6" s="1084"/>
      <c r="O6" s="1084"/>
      <c r="P6" s="1092"/>
      <c r="Q6" s="1092"/>
      <c r="R6" s="1092"/>
      <c r="S6" s="1093"/>
      <c r="T6" s="1094" t="s">
        <v>449</v>
      </c>
      <c r="U6" s="1095"/>
      <c r="V6" s="1095"/>
      <c r="W6" s="1096"/>
      <c r="X6" s="1097"/>
      <c r="Y6" s="1098" t="s">
        <v>450</v>
      </c>
      <c r="Z6" s="1099"/>
      <c r="AA6" s="1099"/>
      <c r="AB6" s="1100"/>
      <c r="AC6" s="1098" t="s">
        <v>452</v>
      </c>
      <c r="AD6" s="1096"/>
      <c r="AE6" s="1098" t="s">
        <v>453</v>
      </c>
      <c r="AF6" s="1096"/>
      <c r="AG6" s="1096"/>
      <c r="AH6" s="1097"/>
      <c r="AI6" s="1098" t="s">
        <v>454</v>
      </c>
      <c r="AJ6" s="1096"/>
      <c r="AK6" s="1096"/>
      <c r="AL6" s="1097"/>
      <c r="AQ6" s="1098" t="s">
        <v>699</v>
      </c>
      <c r="AR6" s="1096"/>
      <c r="AS6" s="1096"/>
      <c r="AT6" s="1096"/>
      <c r="AU6" s="409" t="s">
        <v>702</v>
      </c>
      <c r="AV6" s="408"/>
      <c r="AW6" s="409" t="s">
        <v>766</v>
      </c>
      <c r="AX6" s="408"/>
      <c r="AY6" s="409" t="s">
        <v>904</v>
      </c>
      <c r="AZ6" s="408"/>
      <c r="BA6" s="409" t="s">
        <v>931</v>
      </c>
      <c r="BB6" s="408"/>
    </row>
    <row r="7" spans="1:54" ht="15.75" thickBot="1">
      <c r="A7" s="1077"/>
      <c r="B7" s="1079"/>
      <c r="C7" s="1081"/>
      <c r="D7" s="1086"/>
      <c r="E7" s="1087"/>
      <c r="F7" s="1087"/>
      <c r="G7" s="1088"/>
      <c r="H7" s="1091"/>
      <c r="I7" s="1075"/>
      <c r="J7" s="1098" t="s">
        <v>533</v>
      </c>
      <c r="K7" s="1096"/>
      <c r="L7" s="400"/>
      <c r="M7" s="401"/>
      <c r="N7" s="400"/>
      <c r="O7" s="400"/>
      <c r="P7" s="1096" t="s">
        <v>534</v>
      </c>
      <c r="Q7" s="1096"/>
      <c r="R7" s="1096"/>
      <c r="S7" s="1097"/>
      <c r="T7" s="1094" t="s">
        <v>535</v>
      </c>
      <c r="U7" s="1099"/>
      <c r="V7" s="1100"/>
      <c r="W7" s="1101" t="s">
        <v>536</v>
      </c>
      <c r="X7" s="1090"/>
      <c r="Y7" s="1098" t="s">
        <v>537</v>
      </c>
      <c r="Z7" s="1097"/>
      <c r="AA7" s="1101" t="s">
        <v>536</v>
      </c>
      <c r="AB7" s="1090"/>
      <c r="AC7" s="1079" t="s">
        <v>455</v>
      </c>
      <c r="AD7" s="1080" t="s">
        <v>451</v>
      </c>
      <c r="AE7" s="1104" t="s">
        <v>456</v>
      </c>
      <c r="AF7" s="1080" t="s">
        <v>451</v>
      </c>
      <c r="AG7" s="1104" t="s">
        <v>457</v>
      </c>
      <c r="AH7" s="1080" t="s">
        <v>451</v>
      </c>
      <c r="AI7" s="1104" t="s">
        <v>458</v>
      </c>
      <c r="AJ7" s="1080" t="s">
        <v>451</v>
      </c>
      <c r="AK7" s="1104" t="s">
        <v>459</v>
      </c>
      <c r="AL7" s="1080" t="s">
        <v>451</v>
      </c>
      <c r="AQ7" s="1104" t="s">
        <v>700</v>
      </c>
      <c r="AR7" s="1080" t="s">
        <v>451</v>
      </c>
      <c r="AS7" s="1104" t="s">
        <v>701</v>
      </c>
      <c r="AT7" s="1105" t="s">
        <v>451</v>
      </c>
      <c r="AU7" s="410"/>
      <c r="AV7" s="410"/>
      <c r="AW7" s="410"/>
      <c r="AX7" s="410"/>
      <c r="AY7" s="410"/>
      <c r="AZ7" s="410"/>
      <c r="BA7" s="410"/>
      <c r="BB7" s="410"/>
    </row>
    <row r="8" spans="1:54" ht="60.75" thickBot="1">
      <c r="A8" s="1077"/>
      <c r="B8" s="1079"/>
      <c r="C8" s="1082"/>
      <c r="D8" s="169" t="s">
        <v>460</v>
      </c>
      <c r="E8" s="169" t="s">
        <v>461</v>
      </c>
      <c r="F8" s="170" t="s">
        <v>462</v>
      </c>
      <c r="G8" s="170" t="s">
        <v>463</v>
      </c>
      <c r="H8" s="172" t="s">
        <v>491</v>
      </c>
      <c r="I8" s="173" t="s">
        <v>35</v>
      </c>
      <c r="J8" s="399" t="s">
        <v>538</v>
      </c>
      <c r="K8" s="399" t="s">
        <v>451</v>
      </c>
      <c r="L8" s="402" t="s">
        <v>642</v>
      </c>
      <c r="M8" s="402" t="s">
        <v>633</v>
      </c>
      <c r="N8" s="349" t="s">
        <v>634</v>
      </c>
      <c r="O8" s="349" t="s">
        <v>633</v>
      </c>
      <c r="P8" s="169" t="s">
        <v>464</v>
      </c>
      <c r="Q8" s="169" t="s">
        <v>451</v>
      </c>
      <c r="R8" s="169" t="s">
        <v>465</v>
      </c>
      <c r="S8" s="169" t="s">
        <v>451</v>
      </c>
      <c r="T8" s="172" t="s">
        <v>466</v>
      </c>
      <c r="U8" s="169" t="s">
        <v>467</v>
      </c>
      <c r="V8" s="169" t="s">
        <v>468</v>
      </c>
      <c r="W8" s="172" t="s">
        <v>466</v>
      </c>
      <c r="X8" s="169" t="s">
        <v>451</v>
      </c>
      <c r="Y8" s="172" t="s">
        <v>466</v>
      </c>
      <c r="Z8" s="169" t="s">
        <v>469</v>
      </c>
      <c r="AA8" s="172" t="s">
        <v>466</v>
      </c>
      <c r="AB8" s="169" t="s">
        <v>451</v>
      </c>
      <c r="AC8" s="1102"/>
      <c r="AD8" s="1103"/>
      <c r="AE8" s="1103"/>
      <c r="AF8" s="1103"/>
      <c r="AG8" s="1103"/>
      <c r="AH8" s="1103"/>
      <c r="AI8" s="1103"/>
      <c r="AJ8" s="1103"/>
      <c r="AK8" s="1103"/>
      <c r="AL8" s="1103"/>
      <c r="AQ8" s="1103"/>
      <c r="AR8" s="1103"/>
      <c r="AS8" s="1103"/>
      <c r="AT8" s="1091"/>
      <c r="AU8" s="412" t="s">
        <v>466</v>
      </c>
      <c r="AV8" s="412" t="s">
        <v>703</v>
      </c>
      <c r="AW8" s="412" t="s">
        <v>466</v>
      </c>
      <c r="AX8" s="412" t="s">
        <v>703</v>
      </c>
      <c r="AY8" s="412" t="s">
        <v>466</v>
      </c>
      <c r="AZ8" s="412" t="s">
        <v>703</v>
      </c>
      <c r="BA8" s="412" t="s">
        <v>466</v>
      </c>
      <c r="BB8" s="412" t="s">
        <v>703</v>
      </c>
    </row>
    <row r="9" spans="1:54" ht="15.75" thickBot="1">
      <c r="A9" s="1077"/>
      <c r="B9" s="174" t="s">
        <v>470</v>
      </c>
      <c r="C9" s="183" t="s">
        <v>88</v>
      </c>
      <c r="D9" s="175" t="s">
        <v>550</v>
      </c>
      <c r="E9" s="175" t="s">
        <v>88</v>
      </c>
      <c r="F9" s="176" t="s">
        <v>88</v>
      </c>
      <c r="G9" s="176" t="s">
        <v>88</v>
      </c>
      <c r="H9" s="175" t="s">
        <v>88</v>
      </c>
      <c r="I9" s="169" t="s">
        <v>88</v>
      </c>
      <c r="J9" s="175" t="s">
        <v>90</v>
      </c>
      <c r="K9" s="175" t="s">
        <v>472</v>
      </c>
      <c r="L9" s="349" t="s">
        <v>31</v>
      </c>
      <c r="M9" s="349" t="s">
        <v>472</v>
      </c>
      <c r="N9" s="349" t="s">
        <v>31</v>
      </c>
      <c r="O9" s="349" t="s">
        <v>88</v>
      </c>
      <c r="P9" s="175" t="s">
        <v>90</v>
      </c>
      <c r="Q9" s="175" t="s">
        <v>88</v>
      </c>
      <c r="R9" s="175" t="s">
        <v>90</v>
      </c>
      <c r="S9" s="175" t="s">
        <v>88</v>
      </c>
      <c r="T9" s="175" t="s">
        <v>25</v>
      </c>
      <c r="U9" s="175" t="s">
        <v>472</v>
      </c>
      <c r="V9" s="175" t="s">
        <v>88</v>
      </c>
      <c r="W9" s="175" t="s">
        <v>25</v>
      </c>
      <c r="X9" s="175" t="s">
        <v>472</v>
      </c>
      <c r="Y9" s="175" t="s">
        <v>21</v>
      </c>
      <c r="Z9" s="175"/>
      <c r="AA9" s="175" t="s">
        <v>21</v>
      </c>
      <c r="AB9" s="175" t="s">
        <v>88</v>
      </c>
      <c r="AC9" s="175" t="s">
        <v>471</v>
      </c>
      <c r="AD9" s="175" t="s">
        <v>88</v>
      </c>
      <c r="AE9" s="175" t="s">
        <v>551</v>
      </c>
      <c r="AF9" s="175" t="s">
        <v>472</v>
      </c>
      <c r="AG9" s="175" t="s">
        <v>550</v>
      </c>
      <c r="AH9" s="175" t="s">
        <v>88</v>
      </c>
      <c r="AI9" s="175" t="s">
        <v>25</v>
      </c>
      <c r="AJ9" s="175" t="s">
        <v>88</v>
      </c>
      <c r="AK9" s="175" t="s">
        <v>549</v>
      </c>
      <c r="AL9" s="175" t="s">
        <v>88</v>
      </c>
      <c r="AQ9" s="175" t="s">
        <v>21</v>
      </c>
      <c r="AR9" s="175" t="s">
        <v>472</v>
      </c>
      <c r="AS9" s="175" t="s">
        <v>550</v>
      </c>
      <c r="AT9" s="176" t="s">
        <v>88</v>
      </c>
      <c r="AU9" s="413" t="s">
        <v>470</v>
      </c>
      <c r="AV9" s="414" t="s">
        <v>472</v>
      </c>
      <c r="AW9" s="413" t="s">
        <v>470</v>
      </c>
      <c r="AX9" s="414" t="s">
        <v>472</v>
      </c>
      <c r="AY9" s="413" t="s">
        <v>470</v>
      </c>
      <c r="AZ9" s="414" t="s">
        <v>472</v>
      </c>
      <c r="BA9" s="413" t="s">
        <v>21</v>
      </c>
      <c r="BB9" s="414" t="s">
        <v>472</v>
      </c>
    </row>
    <row r="10" spans="1:54" ht="15.75" thickBot="1">
      <c r="A10" s="1077"/>
      <c r="B10" s="1076"/>
      <c r="C10" s="1107"/>
      <c r="D10" s="169"/>
      <c r="E10" s="177"/>
      <c r="F10" s="1109"/>
      <c r="G10" s="1111"/>
      <c r="H10" s="175"/>
      <c r="I10" s="178"/>
      <c r="J10" s="1114"/>
      <c r="K10" s="179">
        <f>'стоимость содержания'!F38</f>
        <v>2554.5528658944008</v>
      </c>
      <c r="L10" s="350"/>
      <c r="M10" s="350">
        <f>'стоимость содержания'!F42</f>
        <v>545.81011301375997</v>
      </c>
      <c r="N10" s="350"/>
      <c r="O10" s="350">
        <f>'стоимость содержания'!F41</f>
        <v>6584.2239560832004</v>
      </c>
      <c r="P10" s="1114"/>
      <c r="Q10" s="179">
        <f>'стоимость содержания'!F9</f>
        <v>3119.0489017876807</v>
      </c>
      <c r="R10" s="1114"/>
      <c r="S10" s="179">
        <f>'стоимость содержания'!F8</f>
        <v>1748.1091185995042</v>
      </c>
      <c r="T10" s="1114"/>
      <c r="U10" s="179">
        <f>'стоимость содержания'!F10</f>
        <v>1849.1567693644802</v>
      </c>
      <c r="V10" s="175">
        <f>'стоимость содержания'!F29</f>
        <v>69.290000000000006</v>
      </c>
      <c r="W10" s="1114"/>
      <c r="X10" s="179">
        <f>'стоимость содержания'!F39</f>
        <v>1691.1900932161534</v>
      </c>
      <c r="Y10" s="180"/>
      <c r="Z10" s="175">
        <f>'стоимость содержания'!F30</f>
        <v>269.7</v>
      </c>
      <c r="AA10" s="1114"/>
      <c r="AB10" s="179">
        <f>'стоимость содержания'!F40</f>
        <v>253.59748788326402</v>
      </c>
      <c r="AC10" s="1105"/>
      <c r="AD10" s="179">
        <f>'стоимость содержания'!F31</f>
        <v>427.53827491015687</v>
      </c>
      <c r="AE10" s="1114"/>
      <c r="AF10" s="179">
        <f>'стоимость содержания'!F22</f>
        <v>13284.0922339872</v>
      </c>
      <c r="AG10" s="1114"/>
      <c r="AH10" s="179"/>
      <c r="AI10" s="1114"/>
      <c r="AJ10" s="182">
        <f>'стоимость содержания'!F15</f>
        <v>69.266673072000003</v>
      </c>
      <c r="AK10" s="1080"/>
      <c r="AL10" s="179">
        <f>'стоимость содержания'!F19</f>
        <v>13700.897819136002</v>
      </c>
      <c r="AQ10" s="1114"/>
      <c r="AR10" s="179"/>
      <c r="AS10" s="1114"/>
      <c r="AT10" s="182"/>
      <c r="AU10" s="411"/>
      <c r="AV10" s="420">
        <f>'стоимость содержания'!F33</f>
        <v>83.07</v>
      </c>
      <c r="AW10" s="411"/>
      <c r="AX10" s="420">
        <f>'стоимость содержания'!K34</f>
        <v>0</v>
      </c>
      <c r="AY10" s="411"/>
      <c r="AZ10" s="420">
        <f>'стоимость содержания'!F35</f>
        <v>47.920900000000003</v>
      </c>
      <c r="BA10" s="411"/>
      <c r="BB10" s="420">
        <f>'стоимость содержания'!F36</f>
        <v>51.934874872320002</v>
      </c>
    </row>
    <row r="11" spans="1:54" ht="15.75" thickBot="1">
      <c r="A11" s="1077"/>
      <c r="B11" s="1077"/>
      <c r="C11" s="1108"/>
      <c r="D11" s="175"/>
      <c r="E11" s="179"/>
      <c r="F11" s="1110"/>
      <c r="G11" s="1112"/>
      <c r="H11" s="175"/>
      <c r="I11" s="178"/>
      <c r="J11" s="1115"/>
      <c r="K11" s="175"/>
      <c r="L11" s="349"/>
      <c r="M11" s="349"/>
      <c r="N11" s="349"/>
      <c r="O11" s="349"/>
      <c r="P11" s="1115"/>
      <c r="Q11" s="175"/>
      <c r="R11" s="1115"/>
      <c r="S11" s="175"/>
      <c r="T11" s="1115"/>
      <c r="U11" s="175"/>
      <c r="V11" s="175"/>
      <c r="W11" s="1115"/>
      <c r="X11" s="175"/>
      <c r="Y11" s="181"/>
      <c r="Z11" s="175"/>
      <c r="AA11" s="1115"/>
      <c r="AB11" s="175"/>
      <c r="AC11" s="1117"/>
      <c r="AD11" s="175"/>
      <c r="AE11" s="1115"/>
      <c r="AF11" s="175"/>
      <c r="AG11" s="1115"/>
      <c r="AH11" s="175"/>
      <c r="AI11" s="1115"/>
      <c r="AJ11" s="176"/>
      <c r="AK11" s="1081"/>
      <c r="AL11" s="175"/>
      <c r="AQ11" s="1115"/>
      <c r="AR11" s="175"/>
      <c r="AS11" s="1115"/>
      <c r="AT11" s="176"/>
      <c r="AU11" s="411"/>
      <c r="AV11" s="415"/>
      <c r="AW11" s="411"/>
      <c r="AX11" s="415"/>
      <c r="AY11" s="411"/>
      <c r="AZ11" s="415"/>
      <c r="BA11" s="411"/>
      <c r="BB11" s="415"/>
    </row>
    <row r="12" spans="1:54" ht="15.75" thickBot="1">
      <c r="A12" s="1078"/>
      <c r="B12" s="1106"/>
      <c r="C12" s="1106"/>
      <c r="D12" s="169" t="s">
        <v>539</v>
      </c>
      <c r="E12" s="184">
        <f>'стоимость содержания'!F32</f>
        <v>132.60692735999999</v>
      </c>
      <c r="F12" s="1087"/>
      <c r="G12" s="1113"/>
      <c r="H12" s="185">
        <v>1</v>
      </c>
      <c r="I12" s="186">
        <v>1</v>
      </c>
      <c r="J12" s="1116"/>
      <c r="K12" s="187"/>
      <c r="L12" s="351"/>
      <c r="M12" s="351"/>
      <c r="N12" s="351"/>
      <c r="O12" s="351"/>
      <c r="P12" s="1116"/>
      <c r="Q12" s="188"/>
      <c r="R12" s="1116"/>
      <c r="S12" s="187"/>
      <c r="T12" s="1116"/>
      <c r="U12" s="189"/>
      <c r="V12" s="177"/>
      <c r="W12" s="1116"/>
      <c r="X12" s="188"/>
      <c r="Y12" s="190"/>
      <c r="Z12" s="188"/>
      <c r="AA12" s="1116"/>
      <c r="AB12" s="188"/>
      <c r="AC12" s="1113"/>
      <c r="AD12" s="187"/>
      <c r="AE12" s="1116"/>
      <c r="AF12" s="187"/>
      <c r="AG12" s="1116"/>
      <c r="AH12" s="187"/>
      <c r="AI12" s="1116"/>
      <c r="AJ12" s="187"/>
      <c r="AK12" s="1106"/>
      <c r="AL12" s="177"/>
      <c r="AQ12" s="1116"/>
      <c r="AR12" s="187"/>
      <c r="AS12" s="1116"/>
      <c r="AT12" s="406"/>
      <c r="AU12" s="411"/>
      <c r="AV12" s="416"/>
      <c r="AW12" s="411"/>
      <c r="AX12" s="416"/>
      <c r="AY12" s="411"/>
      <c r="AZ12" s="416"/>
      <c r="BA12" s="411"/>
      <c r="BB12" s="416"/>
    </row>
    <row r="13" spans="1:54" ht="24.75" thickBot="1">
      <c r="A13" s="205" t="s">
        <v>540</v>
      </c>
      <c r="B13" s="206"/>
      <c r="C13" s="292">
        <f>H13+I13</f>
        <v>0</v>
      </c>
      <c r="D13" s="206">
        <f>77586/100</f>
        <v>775.86</v>
      </c>
      <c r="E13" s="207">
        <f>'стоимость содержания'!F11</f>
        <v>1494.53173924672</v>
      </c>
      <c r="F13" s="207">
        <f>(J13)*E12</f>
        <v>11738.365209907199</v>
      </c>
      <c r="G13" s="206"/>
      <c r="H13" s="321"/>
      <c r="I13" s="321"/>
      <c r="J13" s="206">
        <v>88.52</v>
      </c>
      <c r="K13" s="207">
        <f>K10</f>
        <v>2554.5528658944008</v>
      </c>
      <c r="L13" s="357">
        <f>230/100</f>
        <v>2.2999999999999998</v>
      </c>
      <c r="M13" s="493">
        <f>M10</f>
        <v>545.81011301375997</v>
      </c>
      <c r="N13" s="328">
        <f>789/100</f>
        <v>7.89</v>
      </c>
      <c r="O13" s="493">
        <f>O10</f>
        <v>6584.2239560832004</v>
      </c>
      <c r="P13" s="206">
        <v>110.1186</v>
      </c>
      <c r="Q13" s="207">
        <f>Q10</f>
        <v>3119.0489017876807</v>
      </c>
      <c r="R13" s="206">
        <f>1400/100</f>
        <v>14</v>
      </c>
      <c r="S13" s="207">
        <f>S10</f>
        <v>1748.1091185995042</v>
      </c>
      <c r="T13" s="206">
        <v>92</v>
      </c>
      <c r="U13" s="207">
        <f>U10</f>
        <v>1849.1567693644802</v>
      </c>
      <c r="V13" s="206">
        <f>V10</f>
        <v>69.290000000000006</v>
      </c>
      <c r="W13" s="206">
        <v>92</v>
      </c>
      <c r="X13" s="207">
        <f>X10</f>
        <v>1691.1900932161534</v>
      </c>
      <c r="Y13" s="206">
        <v>98</v>
      </c>
      <c r="Z13" s="206">
        <f>Z10</f>
        <v>269.7</v>
      </c>
      <c r="AA13" s="206">
        <v>98</v>
      </c>
      <c r="AB13" s="207">
        <f>AB10</f>
        <v>253.59748788326402</v>
      </c>
      <c r="AC13" s="206">
        <f>677+3.12</f>
        <v>680.12</v>
      </c>
      <c r="AD13" s="207">
        <f>AD10</f>
        <v>427.53827491015687</v>
      </c>
      <c r="AE13" s="206">
        <f>680.12/100</f>
        <v>6.8011999999999997</v>
      </c>
      <c r="AF13" s="207">
        <f>AF10</f>
        <v>13284.0922339872</v>
      </c>
      <c r="AG13" s="206">
        <v>0</v>
      </c>
      <c r="AH13" s="206">
        <f>AH10</f>
        <v>0</v>
      </c>
      <c r="AI13" s="206">
        <v>71</v>
      </c>
      <c r="AJ13" s="207">
        <f>AJ10</f>
        <v>69.266673072000003</v>
      </c>
      <c r="AK13" s="206">
        <f>908/100</f>
        <v>9.08</v>
      </c>
      <c r="AL13" s="840">
        <f>AL10</f>
        <v>13700.897819136002</v>
      </c>
      <c r="AQ13" s="206">
        <v>61</v>
      </c>
      <c r="AR13" s="207">
        <f>AR10</f>
        <v>0</v>
      </c>
      <c r="AS13" s="206">
        <f>808/100</f>
        <v>8.08</v>
      </c>
      <c r="AT13" s="407">
        <f>AT10</f>
        <v>0</v>
      </c>
      <c r="AU13" s="439">
        <v>34</v>
      </c>
      <c r="AV13" s="421">
        <f>AV10</f>
        <v>83.07</v>
      </c>
      <c r="AW13" s="418">
        <v>3685</v>
      </c>
      <c r="AX13" s="421">
        <f>AX10</f>
        <v>0</v>
      </c>
      <c r="AY13" s="418">
        <v>102</v>
      </c>
      <c r="AZ13" s="421">
        <f>AZ10</f>
        <v>47.920900000000003</v>
      </c>
      <c r="BA13" s="418">
        <v>35</v>
      </c>
      <c r="BB13" s="421">
        <f>BB10</f>
        <v>51.934874872320002</v>
      </c>
    </row>
    <row r="14" spans="1:54" ht="15.75" thickBot="1">
      <c r="A14" s="322"/>
      <c r="B14" s="322"/>
      <c r="C14" s="322"/>
      <c r="D14" s="322"/>
      <c r="E14" s="405">
        <f>(D13*E13)*H5*I12</f>
        <v>1159547.3952119602</v>
      </c>
      <c r="F14" s="404">
        <f>F13*H12*H5</f>
        <v>11738.365209907199</v>
      </c>
      <c r="G14" s="322"/>
      <c r="H14" s="326">
        <f>(F14+K14+M14+O14+X14+AB14)</f>
        <v>471514.31756075367</v>
      </c>
      <c r="I14" s="327">
        <f>(E14+Q14+S14+U14+V14+Z14+AD14+AF14+AJ14+AL14+AV14+AX14+AZ14+BB14)</f>
        <v>2250391.1420903699</v>
      </c>
      <c r="J14" s="322"/>
      <c r="K14" s="491">
        <f>J13*K10*H5*H12</f>
        <v>226129.01968897236</v>
      </c>
      <c r="L14" s="492"/>
      <c r="M14" s="491">
        <f>L13*M10*H5*H12</f>
        <v>1255.3632599316479</v>
      </c>
      <c r="N14" s="492"/>
      <c r="O14" s="494">
        <f>N13*O10*H5*H12</f>
        <v>51949.527013496452</v>
      </c>
      <c r="P14" s="322"/>
      <c r="Q14" s="495">
        <f>(P13*Q10)*H5*I12</f>
        <v>343465.29839639692</v>
      </c>
      <c r="R14" s="322"/>
      <c r="S14" s="495">
        <f>(R13*S10)*H5*I12</f>
        <v>24473.527660393058</v>
      </c>
      <c r="T14" s="322"/>
      <c r="U14" s="496">
        <f>(T13*U10)*H5*I12</f>
        <v>170122.42278153216</v>
      </c>
      <c r="V14" s="497">
        <f>(T13*V10)*H5*I12</f>
        <v>6374.68</v>
      </c>
      <c r="W14" s="322"/>
      <c r="X14" s="491">
        <f>W13*X10*H12*H5</f>
        <v>155589.48857588612</v>
      </c>
      <c r="Y14" s="322"/>
      <c r="Z14" s="497">
        <f>(Y13*Z10)*I12*H5</f>
        <v>26430.6</v>
      </c>
      <c r="AA14" s="322"/>
      <c r="AB14" s="491">
        <f>AA13*AB10*H12*H5</f>
        <v>24852.553812559876</v>
      </c>
      <c r="AC14" s="322"/>
      <c r="AD14" s="497">
        <f>(AC13*AD10)*I12*H5</f>
        <v>290777.33153189591</v>
      </c>
      <c r="AE14" s="322"/>
      <c r="AF14" s="497">
        <f>(AE13*AF10)*I12*H5</f>
        <v>90347.768101793743</v>
      </c>
      <c r="AG14" s="322"/>
      <c r="AH14" s="322"/>
      <c r="AI14" s="322"/>
      <c r="AJ14" s="497">
        <f>AI13*AJ10*I12*H5</f>
        <v>4917.933788112</v>
      </c>
      <c r="AK14" s="322"/>
      <c r="AL14" s="497">
        <f>AK13*AL10*I12*H5</f>
        <v>124404.1521977549</v>
      </c>
      <c r="AQ14" s="322"/>
      <c r="AR14" s="324">
        <f>(AQ13*AR10)*1.074*I12</f>
        <v>0</v>
      </c>
      <c r="AS14" s="322"/>
      <c r="AT14" s="324">
        <f>AS13*AT10*1.074*I12</f>
        <v>0</v>
      </c>
      <c r="AU14" s="417"/>
      <c r="AV14" s="498">
        <f>AU13*AV10*I12*H5</f>
        <v>2824.3799999999997</v>
      </c>
      <c r="AW14" s="417"/>
      <c r="AX14" s="498">
        <f>AW13*AX13*H5*I12</f>
        <v>0</v>
      </c>
      <c r="AY14" s="417"/>
      <c r="AZ14" s="498">
        <f>AY13*AZ13*H5*I12</f>
        <v>4887.9318000000003</v>
      </c>
      <c r="BA14" s="417"/>
      <c r="BB14" s="498">
        <f>BA13*BB13*I12*H5</f>
        <v>1817.7206205312</v>
      </c>
    </row>
    <row r="15" spans="1:54">
      <c r="A15" s="325"/>
      <c r="B15" s="171"/>
      <c r="C15" s="171"/>
      <c r="D15" s="171"/>
      <c r="E15" s="171"/>
      <c r="F15" s="171"/>
      <c r="G15" s="171"/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/>
      <c r="S15" s="171"/>
      <c r="T15" s="171"/>
      <c r="U15" s="171"/>
      <c r="V15" s="171"/>
      <c r="W15" s="171"/>
      <c r="X15" s="171"/>
      <c r="Y15" s="171"/>
      <c r="Z15" s="171"/>
      <c r="AA15" s="171"/>
      <c r="AB15" s="171"/>
      <c r="AC15" s="171"/>
      <c r="AD15" s="171"/>
      <c r="AE15" s="171"/>
      <c r="AF15" s="171"/>
      <c r="AG15" s="171"/>
      <c r="AH15" s="171"/>
      <c r="AI15" s="171"/>
      <c r="AJ15" s="171"/>
      <c r="AK15" s="171"/>
      <c r="AL15" s="171"/>
    </row>
    <row r="16" spans="1:54">
      <c r="A16" s="423">
        <f>H14+I14</f>
        <v>2721905.4596511237</v>
      </c>
      <c r="B16" s="171"/>
      <c r="C16" s="323"/>
      <c r="D16" s="171"/>
      <c r="E16" s="171"/>
      <c r="F16" s="171"/>
      <c r="G16" s="171"/>
      <c r="H16" s="323"/>
      <c r="I16" s="171"/>
      <c r="J16" s="171"/>
      <c r="K16" s="171"/>
      <c r="L16" s="171"/>
      <c r="M16" s="171" t="s">
        <v>167</v>
      </c>
      <c r="N16" s="171"/>
      <c r="O16" s="171"/>
      <c r="P16" s="171"/>
      <c r="Q16" s="171"/>
      <c r="R16" s="171"/>
      <c r="S16" s="171"/>
      <c r="T16" s="171"/>
      <c r="U16" s="171"/>
      <c r="V16" s="171"/>
      <c r="W16" s="171"/>
      <c r="X16" s="171"/>
      <c r="Y16" s="171"/>
      <c r="Z16" s="171"/>
      <c r="AA16" s="171"/>
      <c r="AB16" s="171"/>
      <c r="AC16" s="171"/>
      <c r="AD16" s="171"/>
      <c r="AE16" s="171"/>
      <c r="AF16" s="171"/>
      <c r="AG16" s="171"/>
      <c r="AH16" s="171"/>
      <c r="AI16" s="171"/>
      <c r="AJ16" s="171"/>
      <c r="AK16" s="171"/>
      <c r="AL16" s="171"/>
    </row>
    <row r="17" spans="2:8">
      <c r="H17" s="359"/>
    </row>
    <row r="19" spans="2:8">
      <c r="C19" s="359"/>
    </row>
    <row r="20" spans="2:8">
      <c r="C20" s="359"/>
    </row>
    <row r="24" spans="2:8">
      <c r="B24" s="359"/>
    </row>
  </sheetData>
  <mergeCells count="51">
    <mergeCell ref="E5:G5"/>
    <mergeCell ref="AS10:AS12"/>
    <mergeCell ref="AA10:AA12"/>
    <mergeCell ref="AC10:AC12"/>
    <mergeCell ref="AE10:AE12"/>
    <mergeCell ref="AG10:AG12"/>
    <mergeCell ref="AI10:AI12"/>
    <mergeCell ref="AK10:AK12"/>
    <mergeCell ref="W10:W12"/>
    <mergeCell ref="AJ7:AJ8"/>
    <mergeCell ref="AK7:AK8"/>
    <mergeCell ref="AL7:AL8"/>
    <mergeCell ref="AQ7:AQ8"/>
    <mergeCell ref="AQ10:AQ12"/>
    <mergeCell ref="G10:G12"/>
    <mergeCell ref="J10:J12"/>
    <mergeCell ref="AQ6:AT6"/>
    <mergeCell ref="J7:K7"/>
    <mergeCell ref="P7:S7"/>
    <mergeCell ref="T7:V7"/>
    <mergeCell ref="W7:X7"/>
    <mergeCell ref="Y7:Z7"/>
    <mergeCell ref="AA7:AB7"/>
    <mergeCell ref="AC7:AC8"/>
    <mergeCell ref="AD7:AD8"/>
    <mergeCell ref="AE7:AE8"/>
    <mergeCell ref="AF7:AF8"/>
    <mergeCell ref="AG7:AG8"/>
    <mergeCell ref="AH7:AH8"/>
    <mergeCell ref="A4:AL4"/>
    <mergeCell ref="A6:A12"/>
    <mergeCell ref="B6:B8"/>
    <mergeCell ref="C6:C8"/>
    <mergeCell ref="D6:G7"/>
    <mergeCell ref="H6:I7"/>
    <mergeCell ref="J6:S6"/>
    <mergeCell ref="T6:X6"/>
    <mergeCell ref="Y6:AB6"/>
    <mergeCell ref="AC6:AD6"/>
    <mergeCell ref="AI7:AI8"/>
    <mergeCell ref="AE6:AH6"/>
    <mergeCell ref="AI6:AL6"/>
    <mergeCell ref="P10:P12"/>
    <mergeCell ref="R10:R12"/>
    <mergeCell ref="T10:T12"/>
    <mergeCell ref="B10:B12"/>
    <mergeCell ref="C10:C12"/>
    <mergeCell ref="F10:F12"/>
    <mergeCell ref="AT7:AT8"/>
    <mergeCell ref="AR7:AR8"/>
    <mergeCell ref="AS7:AS8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2:L48"/>
  <sheetViews>
    <sheetView topLeftCell="A19" workbookViewId="0">
      <selection activeCell="C48" sqref="C48"/>
    </sheetView>
  </sheetViews>
  <sheetFormatPr defaultRowHeight="12.75"/>
  <cols>
    <col min="1" max="1" width="5.85546875" style="38" bestFit="1" customWidth="1"/>
    <col min="2" max="2" width="31" style="38" customWidth="1"/>
    <col min="3" max="3" width="25.5703125" style="38" customWidth="1"/>
    <col min="4" max="4" width="10.7109375" style="38" customWidth="1"/>
    <col min="5" max="5" width="7.42578125" style="38" customWidth="1"/>
    <col min="6" max="6" width="11.5703125" style="38" bestFit="1" customWidth="1"/>
    <col min="7" max="7" width="5.7109375" style="38" customWidth="1"/>
    <col min="8" max="8" width="14.42578125" style="38" hidden="1" customWidth="1"/>
    <col min="9" max="9" width="11.85546875" style="38" hidden="1" customWidth="1"/>
    <col min="10" max="10" width="10.42578125" style="38" hidden="1" customWidth="1"/>
    <col min="11" max="11" width="12.28515625" style="38" hidden="1" customWidth="1"/>
    <col min="12" max="16384" width="9.140625" style="38"/>
  </cols>
  <sheetData>
    <row r="2" spans="1:11">
      <c r="B2" s="1171" t="s">
        <v>737</v>
      </c>
      <c r="C2" s="1171"/>
      <c r="D2" s="1171"/>
      <c r="E2" s="1171"/>
      <c r="F2" s="1171"/>
    </row>
    <row r="3" spans="1:11">
      <c r="G3" s="38" t="s">
        <v>605</v>
      </c>
      <c r="H3" s="38" t="s">
        <v>606</v>
      </c>
      <c r="I3" s="38" t="s">
        <v>607</v>
      </c>
      <c r="J3" s="38" t="s">
        <v>726</v>
      </c>
      <c r="K3" s="38" t="s">
        <v>727</v>
      </c>
    </row>
    <row r="4" spans="1:11">
      <c r="G4" s="291">
        <v>6</v>
      </c>
      <c r="H4" s="38">
        <v>0</v>
      </c>
      <c r="I4" s="38">
        <v>6</v>
      </c>
    </row>
    <row r="5" spans="1:11">
      <c r="G5" s="290">
        <v>6</v>
      </c>
      <c r="H5" s="38">
        <v>4</v>
      </c>
      <c r="I5" s="38">
        <v>2</v>
      </c>
      <c r="J5" s="38">
        <v>4</v>
      </c>
      <c r="K5" s="38">
        <v>2</v>
      </c>
    </row>
    <row r="6" spans="1:11" ht="60.75" customHeight="1">
      <c r="A6" s="5" t="s">
        <v>26</v>
      </c>
      <c r="B6" s="5" t="s">
        <v>27</v>
      </c>
      <c r="C6" s="5" t="s">
        <v>28</v>
      </c>
      <c r="D6" s="5" t="s">
        <v>29</v>
      </c>
      <c r="E6" s="5" t="s">
        <v>181</v>
      </c>
      <c r="F6" s="5" t="s">
        <v>30</v>
      </c>
      <c r="H6" s="5" t="s">
        <v>30</v>
      </c>
      <c r="I6" s="422" t="s">
        <v>30</v>
      </c>
      <c r="J6" s="47"/>
      <c r="K6" s="679" t="s">
        <v>30</v>
      </c>
    </row>
    <row r="7" spans="1:11" ht="15" customHeight="1">
      <c r="A7" s="1165" t="s">
        <v>35</v>
      </c>
      <c r="B7" s="1166"/>
      <c r="C7" s="1166"/>
      <c r="D7" s="1166"/>
      <c r="E7" s="1166"/>
      <c r="F7" s="1167"/>
      <c r="J7" s="47"/>
      <c r="K7" s="47"/>
    </row>
    <row r="8" spans="1:11" ht="63.75">
      <c r="A8" s="161">
        <v>1</v>
      </c>
      <c r="B8" s="151" t="s">
        <v>36</v>
      </c>
      <c r="C8" s="5" t="s">
        <v>37</v>
      </c>
      <c r="D8" s="43" t="s">
        <v>735</v>
      </c>
      <c r="E8" s="151" t="s">
        <v>31</v>
      </c>
      <c r="F8" s="425">
        <f>'перечень расценок'!D4*8.5</f>
        <v>1748.1091185995042</v>
      </c>
      <c r="H8" s="46">
        <f>'перечень расценок'!D4*0</f>
        <v>0</v>
      </c>
      <c r="I8" s="427">
        <f>'перечень расценок'!D4*8.5</f>
        <v>1748.1091185995042</v>
      </c>
      <c r="J8" s="47">
        <v>0</v>
      </c>
      <c r="K8" s="424">
        <f t="shared" ref="K8:K15" si="0">F8</f>
        <v>1748.1091185995042</v>
      </c>
    </row>
    <row r="9" spans="1:11" ht="63.75">
      <c r="A9" s="161">
        <v>2</v>
      </c>
      <c r="B9" s="151" t="s">
        <v>39</v>
      </c>
      <c r="C9" s="5" t="s">
        <v>38</v>
      </c>
      <c r="D9" s="43" t="s">
        <v>736</v>
      </c>
      <c r="E9" s="151" t="s">
        <v>31</v>
      </c>
      <c r="F9" s="425">
        <f>'перечень расценок'!D5*8.5</f>
        <v>3119.0489017876807</v>
      </c>
      <c r="H9" s="46">
        <f>'перечень расценок'!D5*0</f>
        <v>0</v>
      </c>
      <c r="I9" s="427">
        <f>'перечень расценок'!D5*8.5</f>
        <v>3119.0489017876807</v>
      </c>
      <c r="J9" s="47">
        <v>0</v>
      </c>
      <c r="K9" s="424">
        <f t="shared" si="0"/>
        <v>3119.0489017876807</v>
      </c>
    </row>
    <row r="10" spans="1:11" ht="25.5">
      <c r="A10" s="161">
        <v>3</v>
      </c>
      <c r="B10" s="5" t="s">
        <v>32</v>
      </c>
      <c r="C10" s="5" t="s">
        <v>40</v>
      </c>
      <c r="D10" s="43" t="s">
        <v>603</v>
      </c>
      <c r="E10" s="5" t="s">
        <v>33</v>
      </c>
      <c r="F10" s="425">
        <f>'перечень расценок'!D6*'стоимость содержания'!G4</f>
        <v>1849.1567693644802</v>
      </c>
      <c r="H10" s="46">
        <f>'перечень расценок'!D6*'стоимость содержания'!H4</f>
        <v>0</v>
      </c>
      <c r="I10" s="427">
        <f>'перечень расценок'!D6*'стоимость содержания'!I4</f>
        <v>1849.1567693644802</v>
      </c>
      <c r="J10" s="47">
        <v>0</v>
      </c>
      <c r="K10" s="424">
        <f t="shared" si="0"/>
        <v>1849.1567693644802</v>
      </c>
    </row>
    <row r="11" spans="1:11" ht="51">
      <c r="A11" s="161">
        <v>4</v>
      </c>
      <c r="B11" s="5" t="s">
        <v>41</v>
      </c>
      <c r="C11" s="5" t="s">
        <v>968</v>
      </c>
      <c r="D11" s="909" t="s">
        <v>967</v>
      </c>
      <c r="E11" s="151" t="s">
        <v>31</v>
      </c>
      <c r="F11" s="426">
        <f>'перечень расценок'!D9*3+'перечень расценок'!D8*6+'перечень расценок'!G7</f>
        <v>1494.53173924672</v>
      </c>
      <c r="H11" s="117">
        <f>('перечень расценок'!D9*2+'перечень расценок'!D8*4.5+'перечень расценок'!D7*1)*0</f>
        <v>0</v>
      </c>
      <c r="I11" s="428">
        <f>'перечень расценок'!D9*2+'перечень расценок'!D8*4.5+'перечень расценок'!D7*1</f>
        <v>1159.19633591104</v>
      </c>
      <c r="J11" s="47">
        <v>0</v>
      </c>
      <c r="K11" s="424">
        <f t="shared" si="0"/>
        <v>1494.53173924672</v>
      </c>
    </row>
    <row r="12" spans="1:11" s="499" customFormat="1" ht="28.5" hidden="1" customHeight="1">
      <c r="A12" s="652" t="s">
        <v>795</v>
      </c>
      <c r="B12" s="653" t="s">
        <v>788</v>
      </c>
      <c r="C12" s="641" t="s">
        <v>842</v>
      </c>
      <c r="D12" s="642" t="s">
        <v>798</v>
      </c>
      <c r="E12" s="151" t="s">
        <v>31</v>
      </c>
      <c r="F12" s="654">
        <f>'перечень расценок'!D7*1</f>
        <v>272.31005036160002</v>
      </c>
      <c r="G12" s="645"/>
      <c r="H12" s="655"/>
      <c r="I12" s="656"/>
      <c r="J12" s="648">
        <v>0</v>
      </c>
      <c r="K12" s="649">
        <f t="shared" si="0"/>
        <v>272.31005036160002</v>
      </c>
    </row>
    <row r="13" spans="1:11" s="499" customFormat="1" ht="17.25" hidden="1" customHeight="1">
      <c r="A13" s="650" t="s">
        <v>796</v>
      </c>
      <c r="B13" s="653" t="s">
        <v>789</v>
      </c>
      <c r="C13" s="641" t="s">
        <v>843</v>
      </c>
      <c r="D13" s="642">
        <v>4.5</v>
      </c>
      <c r="E13" s="151" t="s">
        <v>31</v>
      </c>
      <c r="F13" s="654">
        <f>'перечень расценок'!D8*4.5</f>
        <v>240.10628554943997</v>
      </c>
      <c r="G13" s="645"/>
      <c r="H13" s="655"/>
      <c r="I13" s="656"/>
      <c r="J13" s="648">
        <v>0</v>
      </c>
      <c r="K13" s="649">
        <f t="shared" si="0"/>
        <v>240.10628554943997</v>
      </c>
    </row>
    <row r="14" spans="1:11" s="499" customFormat="1" ht="27.75" hidden="1" customHeight="1">
      <c r="A14" s="650" t="s">
        <v>797</v>
      </c>
      <c r="B14" s="653" t="s">
        <v>67</v>
      </c>
      <c r="C14" s="641" t="s">
        <v>841</v>
      </c>
      <c r="D14" s="642">
        <v>3.23</v>
      </c>
      <c r="E14" s="151" t="s">
        <v>31</v>
      </c>
      <c r="F14" s="654">
        <f>'перечень расценок'!D9*3.23</f>
        <v>1044.5497</v>
      </c>
      <c r="G14" s="645"/>
      <c r="H14" s="655"/>
      <c r="I14" s="656"/>
      <c r="J14" s="648">
        <v>0</v>
      </c>
      <c r="K14" s="649">
        <f t="shared" si="0"/>
        <v>1044.5497</v>
      </c>
    </row>
    <row r="15" spans="1:11" ht="38.25">
      <c r="A15" s="161">
        <v>5</v>
      </c>
      <c r="B15" s="5" t="s">
        <v>42</v>
      </c>
      <c r="C15" s="5" t="s">
        <v>43</v>
      </c>
      <c r="D15" s="909" t="s">
        <v>969</v>
      </c>
      <c r="E15" s="151" t="s">
        <v>33</v>
      </c>
      <c r="F15" s="425">
        <f>('перечень расценок'!D10*1.5)+('перечень расценок'!D11*4)+('перечень расценок'!D12)</f>
        <v>69.266673072000003</v>
      </c>
      <c r="H15" s="46">
        <f>('перечень расценок'!D10*1.5+'перечень расценок'!D11*4)*0</f>
        <v>0</v>
      </c>
      <c r="I15" s="427">
        <f>'перечень расценок'!D10*1.5+'перечень расценок'!D11*4</f>
        <v>56.522115394559997</v>
      </c>
      <c r="J15" s="47">
        <v>0</v>
      </c>
      <c r="K15" s="424">
        <f t="shared" si="0"/>
        <v>69.266673072000003</v>
      </c>
    </row>
    <row r="16" spans="1:11" s="645" customFormat="1" ht="38.25" hidden="1">
      <c r="A16" s="650" t="s">
        <v>799</v>
      </c>
      <c r="B16" s="651" t="s">
        <v>70</v>
      </c>
      <c r="C16" s="641" t="s">
        <v>43</v>
      </c>
      <c r="D16" s="642">
        <v>2</v>
      </c>
      <c r="E16" s="643" t="s">
        <v>52</v>
      </c>
      <c r="F16" s="644">
        <f>'перечень расценок'!D11</f>
        <v>8.3004394118399993</v>
      </c>
      <c r="H16" s="646"/>
      <c r="I16" s="647"/>
      <c r="J16" s="648">
        <v>0</v>
      </c>
      <c r="K16" s="649">
        <f>D16*F16</f>
        <v>16.600878823679999</v>
      </c>
    </row>
    <row r="17" spans="1:11" s="645" customFormat="1" ht="38.25" hidden="1">
      <c r="A17" s="650" t="s">
        <v>800</v>
      </c>
      <c r="B17" s="651" t="s">
        <v>71</v>
      </c>
      <c r="C17" s="641" t="s">
        <v>43</v>
      </c>
      <c r="D17" s="642">
        <v>1</v>
      </c>
      <c r="E17" s="643" t="s">
        <v>52</v>
      </c>
      <c r="F17" s="644">
        <f>'перечень расценок'!D12</f>
        <v>12.74455767744</v>
      </c>
      <c r="H17" s="646"/>
      <c r="I17" s="647"/>
      <c r="J17" s="648">
        <v>0</v>
      </c>
      <c r="K17" s="649">
        <f>D17*F17</f>
        <v>12.74455767744</v>
      </c>
    </row>
    <row r="18" spans="1:11" s="645" customFormat="1" ht="38.25" hidden="1">
      <c r="A18" s="650" t="s">
        <v>802</v>
      </c>
      <c r="B18" s="651" t="s">
        <v>68</v>
      </c>
      <c r="C18" s="641" t="s">
        <v>43</v>
      </c>
      <c r="D18" s="642">
        <v>1.5</v>
      </c>
      <c r="E18" s="643" t="s">
        <v>52</v>
      </c>
      <c r="F18" s="644">
        <f>'перечень расценок'!D10</f>
        <v>15.5469051648</v>
      </c>
      <c r="H18" s="646"/>
      <c r="I18" s="647"/>
      <c r="J18" s="648">
        <v>0</v>
      </c>
      <c r="K18" s="649">
        <f>F18*D18</f>
        <v>23.320357747199999</v>
      </c>
    </row>
    <row r="19" spans="1:11" ht="38.25">
      <c r="A19" s="161">
        <v>6</v>
      </c>
      <c r="B19" s="5" t="s">
        <v>971</v>
      </c>
      <c r="C19" s="5" t="s">
        <v>44</v>
      </c>
      <c r="D19" s="679" t="s">
        <v>905</v>
      </c>
      <c r="E19" s="43" t="s">
        <v>45</v>
      </c>
      <c r="F19" s="425">
        <f>'перечень расценок'!D13*4+'перечень расценок'!D14*1.5</f>
        <v>13700.897819136002</v>
      </c>
      <c r="H19" s="46">
        <f>('перечень расценок'!D13*4+'перечень расценок'!D14*1.5)*0</f>
        <v>0</v>
      </c>
      <c r="I19" s="427">
        <f>'перечень расценок'!D13*4+'перечень расценок'!D14*1.5</f>
        <v>13700.897819136002</v>
      </c>
      <c r="J19" s="47">
        <v>0</v>
      </c>
      <c r="K19" s="424">
        <f t="shared" ref="K19:K35" si="1">F19</f>
        <v>13700.897819136002</v>
      </c>
    </row>
    <row r="20" spans="1:11" s="499" customFormat="1" ht="38.25" hidden="1">
      <c r="A20" s="650" t="s">
        <v>805</v>
      </c>
      <c r="B20" s="641" t="s">
        <v>72</v>
      </c>
      <c r="C20" s="5" t="s">
        <v>44</v>
      </c>
      <c r="D20" s="642">
        <v>4</v>
      </c>
      <c r="E20" s="642" t="s">
        <v>804</v>
      </c>
      <c r="F20" s="644">
        <f>'перечень расценок'!D13*4</f>
        <v>12051.216993024002</v>
      </c>
      <c r="G20" s="645"/>
      <c r="H20" s="646"/>
      <c r="I20" s="647"/>
      <c r="J20" s="648">
        <v>0</v>
      </c>
      <c r="K20" s="649">
        <f t="shared" si="1"/>
        <v>12051.216993024002</v>
      </c>
    </row>
    <row r="21" spans="1:11" s="499" customFormat="1" ht="38.25" hidden="1">
      <c r="A21" s="650" t="s">
        <v>806</v>
      </c>
      <c r="B21" s="641" t="s">
        <v>903</v>
      </c>
      <c r="C21" s="5" t="s">
        <v>44</v>
      </c>
      <c r="D21" s="642">
        <v>1.5</v>
      </c>
      <c r="E21" s="642" t="str">
        <f>E20</f>
        <v>100м</v>
      </c>
      <c r="F21" s="644">
        <f>'перечень расценок'!D14*1.5</f>
        <v>1649.6808261120004</v>
      </c>
      <c r="G21" s="645"/>
      <c r="H21" s="646"/>
      <c r="I21" s="647"/>
      <c r="J21" s="648">
        <v>0</v>
      </c>
      <c r="K21" s="649">
        <f t="shared" si="1"/>
        <v>1649.6808261120004</v>
      </c>
    </row>
    <row r="22" spans="1:11" ht="38.25">
      <c r="A22" s="162">
        <v>7</v>
      </c>
      <c r="B22" s="5" t="s">
        <v>46</v>
      </c>
      <c r="C22" s="5" t="s">
        <v>47</v>
      </c>
      <c r="D22" s="43" t="s">
        <v>711</v>
      </c>
      <c r="E22" s="151" t="s">
        <v>31</v>
      </c>
      <c r="F22" s="425">
        <f>'перечень расценок'!D17+'перечень расценок'!D18+'перечень расценок'!D19+'перечень расценок'!D20+'перечень расценок'!D21</f>
        <v>13284.0922339872</v>
      </c>
      <c r="H22" s="46">
        <f>('перечень расценок'!D17+'перечень расценок'!D18+'перечень расценок'!D19+'перечень расценок'!D20+'перечень расценок'!D21)*0</f>
        <v>0</v>
      </c>
      <c r="I22" s="427">
        <f>'перечень расценок'!D17+'перечень расценок'!D18+'перечень расценок'!D19+'перечень расценок'!D20+'перечень расценок'!D21</f>
        <v>13284.0922339872</v>
      </c>
      <c r="J22" s="47">
        <v>0</v>
      </c>
      <c r="K22" s="424">
        <f t="shared" si="1"/>
        <v>13284.0922339872</v>
      </c>
    </row>
    <row r="23" spans="1:11" s="499" customFormat="1" ht="38.25" hidden="1">
      <c r="A23" s="639" t="s">
        <v>828</v>
      </c>
      <c r="B23" s="640" t="s">
        <v>313</v>
      </c>
      <c r="C23" s="641" t="s">
        <v>47</v>
      </c>
      <c r="D23" s="642">
        <v>1</v>
      </c>
      <c r="E23" s="643" t="s">
        <v>31</v>
      </c>
      <c r="F23" s="644">
        <f>'перечень расценок'!D17</f>
        <v>3176.962363008</v>
      </c>
      <c r="G23" s="645"/>
      <c r="H23" s="646"/>
      <c r="I23" s="647"/>
      <c r="J23" s="648">
        <v>0</v>
      </c>
      <c r="K23" s="649">
        <f t="shared" si="1"/>
        <v>3176.962363008</v>
      </c>
    </row>
    <row r="24" spans="1:11" s="499" customFormat="1" ht="38.25" hidden="1">
      <c r="A24" s="639" t="s">
        <v>829</v>
      </c>
      <c r="B24" s="640" t="s">
        <v>328</v>
      </c>
      <c r="C24" s="641" t="s">
        <v>47</v>
      </c>
      <c r="D24" s="642">
        <v>1</v>
      </c>
      <c r="E24" s="643" t="s">
        <v>31</v>
      </c>
      <c r="F24" s="644">
        <f>'перечень расценок'!D18</f>
        <v>4779.6259434796793</v>
      </c>
      <c r="G24" s="645"/>
      <c r="H24" s="646"/>
      <c r="I24" s="647"/>
      <c r="J24" s="648">
        <v>0</v>
      </c>
      <c r="K24" s="649">
        <f t="shared" si="1"/>
        <v>4779.6259434796793</v>
      </c>
    </row>
    <row r="25" spans="1:11" s="499" customFormat="1" ht="45" hidden="1">
      <c r="A25" s="639" t="s">
        <v>830</v>
      </c>
      <c r="B25" s="640" t="s">
        <v>354</v>
      </c>
      <c r="C25" s="641" t="s">
        <v>47</v>
      </c>
      <c r="D25" s="642">
        <v>1</v>
      </c>
      <c r="E25" s="643" t="s">
        <v>31</v>
      </c>
      <c r="F25" s="644">
        <f>'перечень расценок'!D19</f>
        <v>3635.0285281516799</v>
      </c>
      <c r="G25" s="645"/>
      <c r="H25" s="646"/>
      <c r="I25" s="647"/>
      <c r="J25" s="648">
        <v>0</v>
      </c>
      <c r="K25" s="649">
        <f t="shared" si="1"/>
        <v>3635.0285281516799</v>
      </c>
    </row>
    <row r="26" spans="1:11" s="499" customFormat="1" ht="45" hidden="1">
      <c r="A26" s="639" t="s">
        <v>831</v>
      </c>
      <c r="B26" s="640" t="s">
        <v>358</v>
      </c>
      <c r="C26" s="641" t="s">
        <v>47</v>
      </c>
      <c r="D26" s="642">
        <v>1</v>
      </c>
      <c r="E26" s="643" t="s">
        <v>31</v>
      </c>
      <c r="F26" s="644">
        <f>'перечень расценок'!D20</f>
        <v>391.64437189440008</v>
      </c>
      <c r="G26" s="645"/>
      <c r="H26" s="646"/>
      <c r="I26" s="647"/>
      <c r="J26" s="648">
        <v>0</v>
      </c>
      <c r="K26" s="649">
        <f t="shared" si="1"/>
        <v>391.64437189440008</v>
      </c>
    </row>
    <row r="27" spans="1:11" s="499" customFormat="1" ht="45" hidden="1">
      <c r="A27" s="639" t="s">
        <v>832</v>
      </c>
      <c r="B27" s="640" t="s">
        <v>368</v>
      </c>
      <c r="C27" s="641" t="s">
        <v>47</v>
      </c>
      <c r="D27" s="642">
        <v>1</v>
      </c>
      <c r="E27" s="643" t="s">
        <v>31</v>
      </c>
      <c r="F27" s="644">
        <f>'перечень расценок'!D21</f>
        <v>1300.8310274534404</v>
      </c>
      <c r="G27" s="645"/>
      <c r="H27" s="646"/>
      <c r="I27" s="647"/>
      <c r="J27" s="648">
        <v>0</v>
      </c>
      <c r="K27" s="649">
        <f t="shared" si="1"/>
        <v>1300.8310274534404</v>
      </c>
    </row>
    <row r="28" spans="1:11" ht="25.5">
      <c r="A28" s="162">
        <v>8</v>
      </c>
      <c r="B28" s="5" t="s">
        <v>48</v>
      </c>
      <c r="C28" s="5" t="s">
        <v>49</v>
      </c>
      <c r="D28" s="158" t="s">
        <v>555</v>
      </c>
      <c r="E28" s="151" t="s">
        <v>31</v>
      </c>
      <c r="F28" s="425"/>
      <c r="H28" s="46">
        <f>('перечень расценок'!D22*3+'перечень расценок'!D23*1.5)*0</f>
        <v>0</v>
      </c>
      <c r="I28" s="427">
        <f>'перечень расценок'!D22*3+'перечень расценок'!D23*1.5</f>
        <v>6153.5751815635213</v>
      </c>
      <c r="J28" s="47">
        <v>0</v>
      </c>
      <c r="K28" s="424">
        <f t="shared" si="1"/>
        <v>0</v>
      </c>
    </row>
    <row r="29" spans="1:11">
      <c r="A29" s="162">
        <v>9</v>
      </c>
      <c r="B29" s="105" t="s">
        <v>50</v>
      </c>
      <c r="C29" s="105" t="s">
        <v>50</v>
      </c>
      <c r="D29" s="47">
        <v>22</v>
      </c>
      <c r="E29" s="47" t="s">
        <v>33</v>
      </c>
      <c r="F29" s="424">
        <f>'перечень расценок'!D25</f>
        <v>69.290000000000006</v>
      </c>
      <c r="H29" s="47">
        <f>'перечень расценок'!D25*0</f>
        <v>0</v>
      </c>
      <c r="I29" s="419">
        <f>'перечень расценок'!D25</f>
        <v>69.290000000000006</v>
      </c>
      <c r="J29" s="47">
        <v>0</v>
      </c>
      <c r="K29" s="424">
        <f t="shared" si="1"/>
        <v>69.290000000000006</v>
      </c>
    </row>
    <row r="30" spans="1:11">
      <c r="A30" s="162">
        <v>10</v>
      </c>
      <c r="B30" s="105" t="s">
        <v>51</v>
      </c>
      <c r="C30" s="105" t="s">
        <v>51</v>
      </c>
      <c r="D30" s="47">
        <v>23</v>
      </c>
      <c r="E30" s="47" t="s">
        <v>52</v>
      </c>
      <c r="F30" s="424">
        <f>'перечень расценок'!D26</f>
        <v>269.7</v>
      </c>
      <c r="H30" s="47">
        <f>'перечень расценок'!D26*0</f>
        <v>0</v>
      </c>
      <c r="I30" s="419">
        <f>'перечень расценок'!D26</f>
        <v>269.7</v>
      </c>
      <c r="J30" s="47">
        <v>0</v>
      </c>
      <c r="K30" s="424">
        <f t="shared" si="1"/>
        <v>269.7</v>
      </c>
    </row>
    <row r="31" spans="1:11" ht="25.5">
      <c r="A31" s="162">
        <v>11</v>
      </c>
      <c r="B31" s="5" t="s">
        <v>53</v>
      </c>
      <c r="C31" s="5" t="s">
        <v>54</v>
      </c>
      <c r="D31" s="47">
        <v>21</v>
      </c>
      <c r="E31" s="47" t="s">
        <v>34</v>
      </c>
      <c r="F31" s="424">
        <f>'перечень расценок'!D24</f>
        <v>427.53827491015687</v>
      </c>
      <c r="H31" s="137">
        <f>'перечень расценок'!D24*0</f>
        <v>0</v>
      </c>
      <c r="I31" s="352">
        <f>'перечень расценок'!D24</f>
        <v>427.53827491015687</v>
      </c>
      <c r="J31" s="47">
        <v>0</v>
      </c>
      <c r="K31" s="424">
        <f t="shared" si="1"/>
        <v>427.53827491015687</v>
      </c>
    </row>
    <row r="32" spans="1:11" ht="38.25">
      <c r="A32" s="47">
        <v>12</v>
      </c>
      <c r="B32" s="163" t="s">
        <v>490</v>
      </c>
      <c r="C32" s="47" t="s">
        <v>489</v>
      </c>
      <c r="D32" s="43" t="s">
        <v>712</v>
      </c>
      <c r="E32" s="151" t="s">
        <v>31</v>
      </c>
      <c r="F32" s="424">
        <f>'перечень расценок'!D27</f>
        <v>132.60692735999999</v>
      </c>
      <c r="H32" s="137">
        <f>'перечень расценок'!D27</f>
        <v>132.60692735999999</v>
      </c>
      <c r="I32" s="352">
        <f>'перечень расценок'!D27</f>
        <v>132.60692735999999</v>
      </c>
      <c r="J32" s="424">
        <f>F32</f>
        <v>132.60692735999999</v>
      </c>
      <c r="K32" s="424">
        <f t="shared" si="1"/>
        <v>132.60692735999999</v>
      </c>
    </row>
    <row r="33" spans="1:12">
      <c r="A33" s="47">
        <v>13</v>
      </c>
      <c r="B33" s="163" t="s">
        <v>704</v>
      </c>
      <c r="C33" s="47" t="s">
        <v>705</v>
      </c>
      <c r="D33" s="43">
        <v>25</v>
      </c>
      <c r="E33" s="151" t="s">
        <v>470</v>
      </c>
      <c r="F33" s="424">
        <f>'перечень расценок'!D28</f>
        <v>83.07</v>
      </c>
      <c r="H33" s="368"/>
      <c r="I33" s="368"/>
      <c r="J33" s="47">
        <v>0</v>
      </c>
      <c r="K33" s="424">
        <f t="shared" si="1"/>
        <v>83.07</v>
      </c>
    </row>
    <row r="34" spans="1:12">
      <c r="A34" s="47">
        <v>14</v>
      </c>
      <c r="B34" s="163" t="s">
        <v>760</v>
      </c>
      <c r="C34" s="47"/>
      <c r="D34" s="43">
        <v>1</v>
      </c>
      <c r="E34" s="151" t="s">
        <v>470</v>
      </c>
      <c r="F34" s="424"/>
      <c r="H34" s="368"/>
      <c r="I34" s="368"/>
      <c r="J34" s="47">
        <v>0</v>
      </c>
      <c r="K34" s="424">
        <f t="shared" si="1"/>
        <v>0</v>
      </c>
    </row>
    <row r="35" spans="1:12">
      <c r="A35" s="678">
        <v>15</v>
      </c>
      <c r="B35" s="866" t="s">
        <v>761</v>
      </c>
      <c r="C35" s="47"/>
      <c r="D35" s="43">
        <v>1</v>
      </c>
      <c r="E35" s="151" t="s">
        <v>470</v>
      </c>
      <c r="F35" s="424">
        <f>колонны!J41</f>
        <v>47.920900000000003</v>
      </c>
      <c r="H35" s="368"/>
      <c r="I35" s="368"/>
      <c r="J35" s="47">
        <v>0</v>
      </c>
      <c r="K35" s="424">
        <f t="shared" si="1"/>
        <v>47.920900000000003</v>
      </c>
    </row>
    <row r="36" spans="1:12" s="677" customFormat="1">
      <c r="A36" s="678">
        <v>16</v>
      </c>
      <c r="B36" s="865" t="s">
        <v>932</v>
      </c>
      <c r="C36" s="678"/>
      <c r="D36" s="679" t="s">
        <v>933</v>
      </c>
      <c r="E36" s="151" t="s">
        <v>21</v>
      </c>
      <c r="F36" s="424">
        <f>'перечень расценок'!D31*2</f>
        <v>51.934874872320002</v>
      </c>
      <c r="H36" s="368"/>
      <c r="I36" s="368"/>
      <c r="J36" s="678"/>
      <c r="K36" s="424"/>
    </row>
    <row r="37" spans="1:12">
      <c r="A37" s="1168" t="s">
        <v>491</v>
      </c>
      <c r="B37" s="1169"/>
      <c r="C37" s="1169"/>
      <c r="D37" s="1169"/>
      <c r="E37" s="1169"/>
      <c r="F37" s="1170"/>
      <c r="J37" s="47"/>
      <c r="K37" s="47"/>
    </row>
    <row r="38" spans="1:12" ht="51">
      <c r="A38" s="47">
        <v>13</v>
      </c>
      <c r="B38" s="5" t="s">
        <v>492</v>
      </c>
      <c r="C38" s="5" t="s">
        <v>493</v>
      </c>
      <c r="D38" s="166" t="s">
        <v>721</v>
      </c>
      <c r="E38" s="151" t="s">
        <v>31</v>
      </c>
      <c r="F38" s="137">
        <f>'перечень расценок'!D33*3.5</f>
        <v>2554.5528658944008</v>
      </c>
      <c r="H38" s="137">
        <f>'перечень расценок'!D33*2.5</f>
        <v>1824.6806184960005</v>
      </c>
      <c r="I38" s="352">
        <f>'перечень расценок'!D33*1</f>
        <v>729.87224739840019</v>
      </c>
      <c r="J38" s="435">
        <f>'перечень расценок'!D33*2.5</f>
        <v>1824.6806184960005</v>
      </c>
      <c r="K38" s="435">
        <f>F38</f>
        <v>2554.5528658944008</v>
      </c>
      <c r="L38" s="125"/>
    </row>
    <row r="39" spans="1:12" ht="25.5">
      <c r="A39" s="47">
        <v>14</v>
      </c>
      <c r="B39" s="5" t="s">
        <v>32</v>
      </c>
      <c r="C39" s="5" t="s">
        <v>494</v>
      </c>
      <c r="D39" s="166" t="s">
        <v>713</v>
      </c>
      <c r="E39" s="5" t="s">
        <v>33</v>
      </c>
      <c r="F39" s="137">
        <f>'перечень расценок'!D34*6</f>
        <v>1691.1900932161534</v>
      </c>
      <c r="H39" s="137">
        <f>'перечень расценок'!D34*H5</f>
        <v>1127.4600621441023</v>
      </c>
      <c r="I39" s="352">
        <f>'перечень расценок'!D34*I5</f>
        <v>563.73003107205113</v>
      </c>
      <c r="J39" s="435">
        <f>'перечень расценок'!D34*4</f>
        <v>1127.4600621441023</v>
      </c>
      <c r="K39" s="435">
        <f>F39</f>
        <v>1691.1900932161534</v>
      </c>
      <c r="L39" s="125"/>
    </row>
    <row r="40" spans="1:12" ht="25.5">
      <c r="A40" s="329">
        <v>15</v>
      </c>
      <c r="B40" s="346" t="s">
        <v>495</v>
      </c>
      <c r="C40" s="16" t="s">
        <v>496</v>
      </c>
      <c r="D40" s="347" t="s">
        <v>980</v>
      </c>
      <c r="E40" s="16" t="s">
        <v>33</v>
      </c>
      <c r="F40" s="348">
        <f>'перечень расценок'!D35*6</f>
        <v>253.59748788326402</v>
      </c>
      <c r="G40" s="193"/>
      <c r="H40" s="353">
        <f>'перечень расценок'!D35*2.5</f>
        <v>105.66561995136</v>
      </c>
      <c r="I40" s="429">
        <f>'перечень расценок'!D35*1</f>
        <v>42.266247980544001</v>
      </c>
      <c r="J40" s="435">
        <f>'перечень расценок'!D35*2.5</f>
        <v>105.66561995136</v>
      </c>
      <c r="K40" s="435">
        <f>F40</f>
        <v>253.59748788326402</v>
      </c>
      <c r="L40" s="125"/>
    </row>
    <row r="41" spans="1:12" ht="51">
      <c r="A41" s="47">
        <v>16</v>
      </c>
      <c r="B41" s="43" t="s">
        <v>638</v>
      </c>
      <c r="C41" s="43" t="s">
        <v>632</v>
      </c>
      <c r="D41" s="47" t="s">
        <v>722</v>
      </c>
      <c r="E41" s="47" t="s">
        <v>31</v>
      </c>
      <c r="F41" s="137">
        <f>'перечень расценок'!D36*3.5</f>
        <v>6584.2239560832004</v>
      </c>
      <c r="G41" s="193"/>
      <c r="H41" s="354"/>
      <c r="I41" s="419"/>
      <c r="J41" s="435">
        <f>'перечень расценок'!D36*2.5</f>
        <v>4703.0171114880004</v>
      </c>
      <c r="K41" s="435">
        <f>F41</f>
        <v>6584.2239560832004</v>
      </c>
    </row>
    <row r="42" spans="1:12" ht="25.5">
      <c r="A42" s="47">
        <v>17</v>
      </c>
      <c r="B42" s="43" t="s">
        <v>637</v>
      </c>
      <c r="C42" s="43" t="s">
        <v>612</v>
      </c>
      <c r="D42" s="47" t="s">
        <v>723</v>
      </c>
      <c r="E42" s="47" t="s">
        <v>31</v>
      </c>
      <c r="F42" s="137">
        <f>'перечень расценок'!D37*3.5</f>
        <v>545.81011301375997</v>
      </c>
      <c r="G42" s="193"/>
      <c r="H42" s="354"/>
      <c r="I42" s="419"/>
      <c r="J42" s="435">
        <f>'перечень расценок'!D37*2.5</f>
        <v>389.8643664384</v>
      </c>
      <c r="K42" s="435">
        <f>F42</f>
        <v>545.81011301375997</v>
      </c>
      <c r="L42" s="436"/>
    </row>
    <row r="45" spans="1:12" ht="15">
      <c r="B45" s="192" t="s">
        <v>544</v>
      </c>
      <c r="C45" s="192"/>
      <c r="D45" s="1164"/>
      <c r="E45" s="1164"/>
      <c r="F45" s="1164"/>
    </row>
    <row r="46" spans="1:12" ht="15">
      <c r="B46" s="192"/>
      <c r="C46" s="192"/>
      <c r="D46" s="192"/>
      <c r="E46" s="192"/>
      <c r="F46" s="192"/>
    </row>
    <row r="47" spans="1:12" ht="15">
      <c r="B47" s="192"/>
      <c r="C47" s="192"/>
      <c r="D47" s="192"/>
      <c r="E47" s="192"/>
      <c r="F47" s="192"/>
    </row>
    <row r="48" spans="1:12" ht="15">
      <c r="B48" s="192" t="s">
        <v>545</v>
      </c>
      <c r="C48" s="192"/>
      <c r="D48" s="1164"/>
      <c r="E48" s="1164"/>
      <c r="F48" s="1164"/>
    </row>
  </sheetData>
  <mergeCells count="5">
    <mergeCell ref="D48:F48"/>
    <mergeCell ref="A7:F7"/>
    <mergeCell ref="A37:F37"/>
    <mergeCell ref="D45:F45"/>
    <mergeCell ref="B2:F2"/>
  </mergeCells>
  <phoneticPr fontId="18" type="noConversion"/>
  <pageMargins left="0" right="0" top="0" bottom="0" header="0.31496062992125984" footer="0.31496062992125984"/>
  <pageSetup paperSize="9" scale="85" fitToHeight="2" orientation="portrait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3"/>
  <sheetViews>
    <sheetView topLeftCell="B17" workbookViewId="0">
      <selection activeCell="D36" sqref="D36"/>
    </sheetView>
  </sheetViews>
  <sheetFormatPr defaultColWidth="9.28515625" defaultRowHeight="15"/>
  <cols>
    <col min="1" max="1" width="9.28515625" style="153"/>
    <col min="2" max="2" width="36.85546875" style="153" customWidth="1"/>
    <col min="3" max="3" width="13.28515625" style="153" customWidth="1"/>
    <col min="4" max="4" width="14" style="153" customWidth="1"/>
    <col min="5" max="5" width="11.42578125" style="153" bestFit="1" customWidth="1"/>
    <col min="6" max="6" width="9.28515625" style="153"/>
    <col min="7" max="7" width="11.42578125" style="153" bestFit="1" customWidth="1"/>
    <col min="8" max="16384" width="9.28515625" style="153"/>
  </cols>
  <sheetData>
    <row r="1" spans="1:7" ht="15.75">
      <c r="A1" s="1172" t="s">
        <v>444</v>
      </c>
      <c r="B1" s="1172"/>
      <c r="C1" s="1172"/>
      <c r="D1" s="1172"/>
    </row>
    <row r="2" spans="1:7" ht="45">
      <c r="A2" s="6" t="s">
        <v>55</v>
      </c>
      <c r="B2" s="6" t="s">
        <v>56</v>
      </c>
      <c r="C2" s="6" t="s">
        <v>57</v>
      </c>
      <c r="D2" s="6" t="s">
        <v>58</v>
      </c>
    </row>
    <row r="3" spans="1:7">
      <c r="A3" s="1173" t="s">
        <v>35</v>
      </c>
      <c r="B3" s="1174"/>
      <c r="C3" s="1174"/>
      <c r="D3" s="1175"/>
    </row>
    <row r="4" spans="1:7" ht="60">
      <c r="A4" s="7">
        <f>1</f>
        <v>1</v>
      </c>
      <c r="B4" s="154" t="s">
        <v>60</v>
      </c>
      <c r="C4" s="7" t="s">
        <v>59</v>
      </c>
      <c r="D4" s="714">
        <f>к.Асф.покрытие!G23</f>
        <v>205.65989630582402</v>
      </c>
      <c r="E4" s="392"/>
    </row>
    <row r="5" spans="1:7" ht="30">
      <c r="A5" s="7">
        <f>A4+1</f>
        <v>2</v>
      </c>
      <c r="B5" s="154" t="s">
        <v>61</v>
      </c>
      <c r="C5" s="7" t="s">
        <v>59</v>
      </c>
      <c r="D5" s="714">
        <f>к.Плит.покрытие!G25</f>
        <v>366.94692962208006</v>
      </c>
    </row>
    <row r="6" spans="1:7" ht="30">
      <c r="A6" s="7">
        <f t="shared" ref="A6:A28" si="0">A5+1</f>
        <v>3</v>
      </c>
      <c r="B6" s="155" t="s">
        <v>62</v>
      </c>
      <c r="C6" s="6" t="s">
        <v>63</v>
      </c>
      <c r="D6" s="714">
        <f>к.Урны!G17</f>
        <v>308.19279489408001</v>
      </c>
    </row>
    <row r="7" spans="1:7" ht="45">
      <c r="A7" s="7">
        <f t="shared" si="0"/>
        <v>4</v>
      </c>
      <c r="B7" s="155" t="s">
        <v>65</v>
      </c>
      <c r="C7" s="7" t="s">
        <v>64</v>
      </c>
      <c r="D7" s="714">
        <f>к.Газоны!G20</f>
        <v>272.31005036160002</v>
      </c>
      <c r="E7" s="153">
        <v>136.13</v>
      </c>
      <c r="F7" s="403">
        <f>D7+E7</f>
        <v>408.44005036160002</v>
      </c>
      <c r="G7" s="153">
        <f>F7/2</f>
        <v>204.22002518080001</v>
      </c>
    </row>
    <row r="8" spans="1:7" ht="30">
      <c r="A8" s="7">
        <f t="shared" si="0"/>
        <v>5</v>
      </c>
      <c r="B8" s="155" t="s">
        <v>66</v>
      </c>
      <c r="C8" s="7" t="s">
        <v>59</v>
      </c>
      <c r="D8" s="714">
        <f>к.Газоны!G42</f>
        <v>53.356952344319993</v>
      </c>
    </row>
    <row r="9" spans="1:7" ht="30">
      <c r="A9" s="7">
        <f t="shared" si="0"/>
        <v>6</v>
      </c>
      <c r="B9" s="155" t="s">
        <v>67</v>
      </c>
      <c r="C9" s="7" t="s">
        <v>64</v>
      </c>
      <c r="D9" s="714">
        <f>к.Кошение!J47</f>
        <v>323.39</v>
      </c>
    </row>
    <row r="10" spans="1:7" ht="30">
      <c r="A10" s="7">
        <f t="shared" si="0"/>
        <v>7</v>
      </c>
      <c r="B10" s="155" t="s">
        <v>68</v>
      </c>
      <c r="C10" s="6" t="s">
        <v>69</v>
      </c>
      <c r="D10" s="714">
        <f>к.Кустарники!G26</f>
        <v>15.5469051648</v>
      </c>
    </row>
    <row r="11" spans="1:7" ht="30">
      <c r="A11" s="7">
        <f t="shared" si="0"/>
        <v>8</v>
      </c>
      <c r="B11" s="155" t="s">
        <v>840</v>
      </c>
      <c r="C11" s="6" t="s">
        <v>69</v>
      </c>
      <c r="D11" s="714">
        <f>к.Кустарники!G48</f>
        <v>8.3004394118399993</v>
      </c>
    </row>
    <row r="12" spans="1:7" ht="30">
      <c r="A12" s="7">
        <f t="shared" si="0"/>
        <v>9</v>
      </c>
      <c r="B12" s="155" t="s">
        <v>71</v>
      </c>
      <c r="C12" s="6" t="s">
        <v>69</v>
      </c>
      <c r="D12" s="714">
        <f>к.Кустарники!G75</f>
        <v>12.74455767744</v>
      </c>
    </row>
    <row r="13" spans="1:7" ht="45">
      <c r="A13" s="7">
        <f t="shared" si="0"/>
        <v>10</v>
      </c>
      <c r="B13" s="155" t="s">
        <v>72</v>
      </c>
      <c r="C13" s="6" t="s">
        <v>73</v>
      </c>
      <c r="D13" s="714">
        <f>'к.Живая изгородь'!G20</f>
        <v>3012.8042482560004</v>
      </c>
      <c r="E13" s="392"/>
      <c r="F13" s="403"/>
    </row>
    <row r="14" spans="1:7" ht="30">
      <c r="A14" s="7">
        <f t="shared" si="0"/>
        <v>11</v>
      </c>
      <c r="B14" s="155" t="s">
        <v>74</v>
      </c>
      <c r="C14" s="6" t="s">
        <v>73</v>
      </c>
      <c r="D14" s="714">
        <f>'к.Живая изгородь'!G44</f>
        <v>1099.7872174080003</v>
      </c>
      <c r="E14" s="392"/>
    </row>
    <row r="15" spans="1:7" ht="29.25" customHeight="1">
      <c r="A15" s="7">
        <f t="shared" si="0"/>
        <v>12</v>
      </c>
      <c r="B15" s="155" t="s">
        <v>688</v>
      </c>
      <c r="C15" s="6" t="s">
        <v>73</v>
      </c>
      <c r="D15" s="714">
        <f>'к.Живая изгородь'!G77</f>
        <v>412.63981113599999</v>
      </c>
      <c r="E15" s="392"/>
    </row>
    <row r="16" spans="1:7" ht="45">
      <c r="A16" s="7">
        <f t="shared" si="0"/>
        <v>13</v>
      </c>
      <c r="B16" s="155" t="s">
        <v>698</v>
      </c>
      <c r="C16" s="8" t="s">
        <v>73</v>
      </c>
      <c r="D16" s="714">
        <f>'к.Живая изгородь'!G107</f>
        <v>2724.5479671359994</v>
      </c>
      <c r="E16" s="392"/>
    </row>
    <row r="17" spans="1:5" ht="30">
      <c r="A17" s="7">
        <f t="shared" si="0"/>
        <v>14</v>
      </c>
      <c r="B17" s="155" t="s">
        <v>75</v>
      </c>
      <c r="C17" s="6" t="s">
        <v>76</v>
      </c>
      <c r="D17" s="714">
        <f>'к. Однолетники'!G75</f>
        <v>3176.962363008</v>
      </c>
    </row>
    <row r="18" spans="1:5" ht="30">
      <c r="A18" s="7">
        <f t="shared" si="0"/>
        <v>15</v>
      </c>
      <c r="B18" s="155" t="s">
        <v>77</v>
      </c>
      <c r="C18" s="6" t="s">
        <v>76</v>
      </c>
      <c r="D18" s="714">
        <f>'к. Однолетники'!G109</f>
        <v>4779.6259434796793</v>
      </c>
    </row>
    <row r="19" spans="1:5" ht="30">
      <c r="A19" s="7">
        <f t="shared" si="0"/>
        <v>16</v>
      </c>
      <c r="B19" s="155" t="s">
        <v>78</v>
      </c>
      <c r="C19" s="6" t="s">
        <v>76</v>
      </c>
      <c r="D19" s="714">
        <f>'к. Однолетники'!G155</f>
        <v>3635.0285281516799</v>
      </c>
    </row>
    <row r="20" spans="1:5" ht="30">
      <c r="A20" s="7">
        <f t="shared" si="0"/>
        <v>17</v>
      </c>
      <c r="B20" s="155" t="s">
        <v>79</v>
      </c>
      <c r="C20" s="6" t="s">
        <v>76</v>
      </c>
      <c r="D20" s="714">
        <f>'к. Однолетники'!G189</f>
        <v>391.64437189440008</v>
      </c>
    </row>
    <row r="21" spans="1:5" ht="30">
      <c r="A21" s="7">
        <f t="shared" si="0"/>
        <v>18</v>
      </c>
      <c r="B21" s="155" t="s">
        <v>80</v>
      </c>
      <c r="C21" s="6" t="s">
        <v>76</v>
      </c>
      <c r="D21" s="714">
        <f>'к. Однолетники'!G214</f>
        <v>1300.8310274534404</v>
      </c>
    </row>
    <row r="22" spans="1:5" ht="30">
      <c r="A22" s="7">
        <f t="shared" si="0"/>
        <v>19</v>
      </c>
      <c r="B22" s="155" t="s">
        <v>81</v>
      </c>
      <c r="C22" s="6" t="s">
        <v>76</v>
      </c>
      <c r="D22" s="901">
        <f>к.Многолетники!G33</f>
        <v>909.50999734656</v>
      </c>
    </row>
    <row r="23" spans="1:5" ht="30">
      <c r="A23" s="7">
        <f t="shared" si="0"/>
        <v>20</v>
      </c>
      <c r="B23" s="155" t="s">
        <v>82</v>
      </c>
      <c r="C23" s="6" t="s">
        <v>76</v>
      </c>
      <c r="D23" s="901">
        <f>к.Многолетники!G29</f>
        <v>2283.3634596825605</v>
      </c>
    </row>
    <row r="24" spans="1:5" ht="30">
      <c r="A24" s="7">
        <f t="shared" si="0"/>
        <v>21</v>
      </c>
      <c r="B24" s="155" t="s">
        <v>53</v>
      </c>
      <c r="C24" s="6" t="s">
        <v>83</v>
      </c>
      <c r="D24" s="714">
        <f>'к. Однолетники'!G42</f>
        <v>427.53827491015687</v>
      </c>
    </row>
    <row r="25" spans="1:5">
      <c r="A25" s="7">
        <f t="shared" si="0"/>
        <v>22</v>
      </c>
      <c r="B25" s="154" t="s">
        <v>50</v>
      </c>
      <c r="C25" s="6" t="s">
        <v>84</v>
      </c>
      <c r="D25" s="902">
        <f>к.Покраска!J92</f>
        <v>69.290000000000006</v>
      </c>
    </row>
    <row r="26" spans="1:5">
      <c r="A26" s="7">
        <f t="shared" si="0"/>
        <v>23</v>
      </c>
      <c r="B26" s="154" t="s">
        <v>51</v>
      </c>
      <c r="C26" s="6" t="s">
        <v>84</v>
      </c>
      <c r="D26" s="902">
        <f>к.Покраска!J48</f>
        <v>269.7</v>
      </c>
    </row>
    <row r="27" spans="1:5">
      <c r="A27" s="7">
        <f t="shared" si="0"/>
        <v>24</v>
      </c>
      <c r="B27" s="160" t="s">
        <v>488</v>
      </c>
      <c r="C27" s="6" t="s">
        <v>76</v>
      </c>
      <c r="D27" s="903">
        <f>к.Рыхление!H14</f>
        <v>132.60692735999999</v>
      </c>
    </row>
    <row r="28" spans="1:5" ht="31.5" customHeight="1">
      <c r="A28" s="7">
        <f t="shared" si="0"/>
        <v>25</v>
      </c>
      <c r="B28" s="160" t="s">
        <v>779</v>
      </c>
      <c r="C28" s="6" t="s">
        <v>83</v>
      </c>
      <c r="D28" s="903">
        <f>'спорт. пл. промывка покраска'!J41</f>
        <v>83.07</v>
      </c>
    </row>
    <row r="29" spans="1:5">
      <c r="A29" s="7">
        <v>26</v>
      </c>
      <c r="B29" s="154" t="s">
        <v>760</v>
      </c>
      <c r="C29" s="160" t="s">
        <v>762</v>
      </c>
      <c r="D29" s="8"/>
      <c r="E29" s="157"/>
    </row>
    <row r="30" spans="1:5">
      <c r="A30" s="7">
        <v>27</v>
      </c>
      <c r="B30" s="154" t="s">
        <v>761</v>
      </c>
      <c r="C30" s="160" t="s">
        <v>764</v>
      </c>
      <c r="D30" s="714">
        <f>колонны!J41</f>
        <v>47.920900000000003</v>
      </c>
      <c r="E30" s="157"/>
    </row>
    <row r="31" spans="1:5">
      <c r="A31" s="7">
        <v>28</v>
      </c>
      <c r="B31" s="154" t="s">
        <v>929</v>
      </c>
      <c r="C31" s="160" t="s">
        <v>930</v>
      </c>
      <c r="D31" s="8">
        <f>деревья!G26</f>
        <v>25.967437436160001</v>
      </c>
      <c r="E31" s="864"/>
    </row>
    <row r="32" spans="1:5">
      <c r="A32" s="1176" t="s">
        <v>497</v>
      </c>
      <c r="B32" s="1176"/>
      <c r="C32" s="1176"/>
      <c r="D32" s="1176"/>
    </row>
    <row r="33" spans="1:5" ht="45">
      <c r="A33" s="156">
        <v>28</v>
      </c>
      <c r="B33" s="164" t="s">
        <v>532</v>
      </c>
      <c r="C33" s="7" t="s">
        <v>59</v>
      </c>
      <c r="D33" s="157">
        <f>'к. Дорожки зима'!G34</f>
        <v>729.87224739840019</v>
      </c>
    </row>
    <row r="34" spans="1:5" ht="30">
      <c r="A34" s="156">
        <v>29</v>
      </c>
      <c r="B34" s="155" t="s">
        <v>62</v>
      </c>
      <c r="C34" s="6" t="s">
        <v>84</v>
      </c>
      <c r="D34" s="157">
        <f>к.Урны!G24</f>
        <v>281.86501553602557</v>
      </c>
    </row>
    <row r="35" spans="1:5" ht="30">
      <c r="A35" s="156">
        <f>A34+1</f>
        <v>30</v>
      </c>
      <c r="B35" s="165" t="s">
        <v>531</v>
      </c>
      <c r="C35" s="7" t="s">
        <v>83</v>
      </c>
      <c r="D35" s="157">
        <f>к.Скамьи!H16</f>
        <v>42.266247980544001</v>
      </c>
    </row>
    <row r="36" spans="1:5" ht="30">
      <c r="A36" s="156">
        <f>A35+1</f>
        <v>31</v>
      </c>
      <c r="B36" s="156" t="s">
        <v>631</v>
      </c>
      <c r="C36" s="156" t="s">
        <v>59</v>
      </c>
      <c r="D36" s="157">
        <f>'ручная оч. дорож'!G32</f>
        <v>1881.2068445952002</v>
      </c>
    </row>
    <row r="37" spans="1:5" ht="45">
      <c r="A37" s="156">
        <f>A36+1</f>
        <v>32</v>
      </c>
      <c r="B37" s="156" t="s">
        <v>636</v>
      </c>
      <c r="C37" s="156" t="s">
        <v>59</v>
      </c>
      <c r="D37" s="157">
        <f>'руч. уборка  площад. со спорти'!G19</f>
        <v>155.94574657536</v>
      </c>
    </row>
    <row r="40" spans="1:5" ht="15" customHeight="1">
      <c r="A40" s="192" t="s">
        <v>544</v>
      </c>
      <c r="B40" s="192"/>
      <c r="C40" s="1177"/>
      <c r="D40" s="1177"/>
      <c r="E40" s="208"/>
    </row>
    <row r="41" spans="1:5">
      <c r="A41" s="192"/>
      <c r="B41" s="192"/>
      <c r="C41" s="192"/>
      <c r="D41" s="192"/>
      <c r="E41" s="192"/>
    </row>
    <row r="42" spans="1:5">
      <c r="A42" s="192"/>
      <c r="B42" s="192"/>
      <c r="C42" s="192"/>
      <c r="D42" s="192"/>
      <c r="E42" s="192"/>
    </row>
    <row r="43" spans="1:5" ht="15" customHeight="1">
      <c r="A43" s="192" t="s">
        <v>545</v>
      </c>
      <c r="B43" s="192"/>
      <c r="C43" s="1177"/>
      <c r="D43" s="1177"/>
      <c r="E43" s="208"/>
    </row>
  </sheetData>
  <mergeCells count="5">
    <mergeCell ref="A1:D1"/>
    <mergeCell ref="A3:D3"/>
    <mergeCell ref="A32:D32"/>
    <mergeCell ref="C40:D40"/>
    <mergeCell ref="C43:D43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scale="63" orientation="portrait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2:E37"/>
  <sheetViews>
    <sheetView workbookViewId="0">
      <selection activeCell="F33" sqref="F33"/>
    </sheetView>
  </sheetViews>
  <sheetFormatPr defaultRowHeight="15"/>
  <cols>
    <col min="1" max="1" width="24.7109375" customWidth="1"/>
    <col min="2" max="2" width="8.28515625" customWidth="1"/>
    <col min="3" max="3" width="9.85546875" customWidth="1"/>
  </cols>
  <sheetData>
    <row r="2" spans="1:5">
      <c r="A2" s="289" t="s">
        <v>548</v>
      </c>
    </row>
    <row r="3" spans="1:5">
      <c r="B3" s="1178" t="s">
        <v>768</v>
      </c>
      <c r="C3" s="1179"/>
      <c r="D3" s="1179"/>
    </row>
    <row r="4" spans="1:5">
      <c r="A4" s="1" t="s">
        <v>0</v>
      </c>
      <c r="B4" s="1"/>
      <c r="C4" s="1"/>
      <c r="D4" s="318">
        <f>ФОТ!K26</f>
        <v>72.260000000000005</v>
      </c>
    </row>
    <row r="5" spans="1:5">
      <c r="A5" s="2" t="s">
        <v>1</v>
      </c>
      <c r="B5" s="2"/>
      <c r="C5" s="2"/>
      <c r="D5" s="319">
        <f>D4</f>
        <v>72.260000000000005</v>
      </c>
    </row>
    <row r="6" spans="1:5">
      <c r="A6" s="3" t="s">
        <v>2</v>
      </c>
      <c r="B6" s="3"/>
      <c r="C6" s="3"/>
      <c r="D6" s="320">
        <f>D4</f>
        <v>72.260000000000005</v>
      </c>
    </row>
    <row r="7" spans="1:5">
      <c r="A7" s="1" t="s">
        <v>3</v>
      </c>
      <c r="B7" s="1"/>
      <c r="C7" s="1"/>
      <c r="D7" s="318">
        <f>D4</f>
        <v>72.260000000000005</v>
      </c>
    </row>
    <row r="8" spans="1:5">
      <c r="A8" s="2" t="s">
        <v>4</v>
      </c>
      <c r="B8" s="2"/>
      <c r="C8" s="2"/>
      <c r="D8" s="319">
        <f>D7</f>
        <v>72.260000000000005</v>
      </c>
    </row>
    <row r="9" spans="1:5">
      <c r="A9" s="3" t="s">
        <v>5</v>
      </c>
      <c r="B9" s="3"/>
      <c r="C9" s="3"/>
      <c r="D9" s="320">
        <f>D4</f>
        <v>72.260000000000005</v>
      </c>
    </row>
    <row r="10" spans="1:5">
      <c r="A10" s="1" t="s">
        <v>6</v>
      </c>
      <c r="B10" s="1"/>
      <c r="C10" s="1"/>
      <c r="D10" s="318">
        <f>D4</f>
        <v>72.260000000000005</v>
      </c>
    </row>
    <row r="12" spans="1:5">
      <c r="A12" s="4"/>
      <c r="D12" s="657" t="s">
        <v>950</v>
      </c>
    </row>
    <row r="13" spans="1:5">
      <c r="A13" t="s">
        <v>7</v>
      </c>
      <c r="B13" t="s">
        <v>8</v>
      </c>
      <c r="C13" t="s">
        <v>664</v>
      </c>
      <c r="D13" s="897">
        <v>599.5</v>
      </c>
      <c r="E13" t="s">
        <v>953</v>
      </c>
    </row>
    <row r="14" spans="1:5">
      <c r="A14" t="s">
        <v>9</v>
      </c>
      <c r="B14" t="s">
        <v>8</v>
      </c>
      <c r="D14" s="897"/>
    </row>
    <row r="15" spans="1:5">
      <c r="A15" t="s">
        <v>10</v>
      </c>
      <c r="B15" t="s">
        <v>8</v>
      </c>
      <c r="C15" t="s">
        <v>664</v>
      </c>
      <c r="D15" s="897">
        <v>485.24</v>
      </c>
      <c r="E15" t="s">
        <v>953</v>
      </c>
    </row>
    <row r="16" spans="1:5">
      <c r="A16" t="s">
        <v>11</v>
      </c>
      <c r="B16" t="s">
        <v>8</v>
      </c>
      <c r="C16" t="s">
        <v>664</v>
      </c>
      <c r="D16" s="897">
        <v>321.43</v>
      </c>
      <c r="E16" t="s">
        <v>953</v>
      </c>
    </row>
    <row r="17" spans="1:5">
      <c r="A17" t="s">
        <v>12</v>
      </c>
      <c r="B17" t="s">
        <v>8</v>
      </c>
      <c r="C17" t="s">
        <v>664</v>
      </c>
      <c r="D17" s="897">
        <v>696.35</v>
      </c>
      <c r="E17" t="s">
        <v>953</v>
      </c>
    </row>
    <row r="18" spans="1:5">
      <c r="A18" t="s">
        <v>13</v>
      </c>
      <c r="D18" s="897"/>
    </row>
    <row r="19" spans="1:5">
      <c r="A19" t="s">
        <v>14</v>
      </c>
      <c r="D19" s="897"/>
    </row>
    <row r="20" spans="1:5">
      <c r="A20" t="s">
        <v>15</v>
      </c>
      <c r="B20" t="s">
        <v>16</v>
      </c>
      <c r="D20" s="898">
        <v>19.07</v>
      </c>
      <c r="E20" t="s">
        <v>952</v>
      </c>
    </row>
    <row r="21" spans="1:5">
      <c r="A21" t="s">
        <v>17</v>
      </c>
      <c r="B21" t="s">
        <v>16</v>
      </c>
      <c r="D21" s="898">
        <v>26.69</v>
      </c>
      <c r="E21" t="s">
        <v>952</v>
      </c>
    </row>
    <row r="22" spans="1:5">
      <c r="A22" t="s">
        <v>18</v>
      </c>
      <c r="B22" t="s">
        <v>16</v>
      </c>
      <c r="D22" s="898">
        <v>10.72</v>
      </c>
      <c r="E22" t="s">
        <v>952</v>
      </c>
    </row>
    <row r="23" spans="1:5">
      <c r="A23" t="s">
        <v>19</v>
      </c>
      <c r="B23" t="s">
        <v>16</v>
      </c>
      <c r="D23" s="898">
        <v>36.6</v>
      </c>
    </row>
    <row r="24" spans="1:5">
      <c r="D24" s="897"/>
    </row>
    <row r="25" spans="1:5">
      <c r="A25" t="s">
        <v>20</v>
      </c>
      <c r="B25" t="s">
        <v>21</v>
      </c>
      <c r="D25" s="898">
        <v>9</v>
      </c>
      <c r="E25" t="s">
        <v>954</v>
      </c>
    </row>
    <row r="26" spans="1:5">
      <c r="A26" t="s">
        <v>951</v>
      </c>
      <c r="B26" t="s">
        <v>22</v>
      </c>
      <c r="D26" s="898">
        <v>168.37</v>
      </c>
      <c r="E26" t="s">
        <v>953</v>
      </c>
    </row>
    <row r="27" spans="1:5">
      <c r="D27" s="897"/>
    </row>
    <row r="28" spans="1:5">
      <c r="A28" t="s">
        <v>23</v>
      </c>
      <c r="D28" s="897"/>
    </row>
    <row r="29" spans="1:5">
      <c r="A29" t="s">
        <v>24</v>
      </c>
      <c r="B29" t="s">
        <v>25</v>
      </c>
      <c r="D29" s="898">
        <v>6.9</v>
      </c>
    </row>
    <row r="34" spans="1:5" ht="15" customHeight="1">
      <c r="A34" s="192" t="s">
        <v>544</v>
      </c>
      <c r="B34" s="192"/>
      <c r="C34" s="1164"/>
      <c r="D34" s="1164"/>
      <c r="E34" s="1164"/>
    </row>
    <row r="35" spans="1:5">
      <c r="A35" s="192"/>
      <c r="B35" s="192"/>
      <c r="C35" s="192"/>
      <c r="D35" s="192"/>
      <c r="E35" s="192"/>
    </row>
    <row r="36" spans="1:5">
      <c r="A36" s="192"/>
      <c r="B36" s="192"/>
      <c r="C36" s="192"/>
      <c r="D36" s="192"/>
      <c r="E36" s="192"/>
    </row>
    <row r="37" spans="1:5" ht="15" customHeight="1">
      <c r="A37" s="192" t="s">
        <v>545</v>
      </c>
      <c r="B37" s="192"/>
      <c r="C37" s="1164"/>
      <c r="D37" s="1164"/>
      <c r="E37" s="1164"/>
    </row>
  </sheetData>
  <mergeCells count="3">
    <mergeCell ref="B3:D3"/>
    <mergeCell ref="C34:E34"/>
    <mergeCell ref="C37:E37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32</vt:i4>
      </vt:variant>
    </vt:vector>
  </HeadingPairs>
  <TitlesOfParts>
    <vt:vector size="32" baseType="lpstr">
      <vt:lpstr>с 21.12.2015-20.12.2016  </vt:lpstr>
      <vt:lpstr>с 21.12.2014-20.12.2015 </vt:lpstr>
      <vt:lpstr>2014</vt:lpstr>
      <vt:lpstr>2015</vt:lpstr>
      <vt:lpstr>разбивка </vt:lpstr>
      <vt:lpstr>с 21.12.2013-20.12.2014</vt:lpstr>
      <vt:lpstr>стоимость содержания</vt:lpstr>
      <vt:lpstr>перечень расценок</vt:lpstr>
      <vt:lpstr>ресурсы</vt:lpstr>
      <vt:lpstr>ФОТ</vt:lpstr>
      <vt:lpstr>к.Асф.покрытие</vt:lpstr>
      <vt:lpstr>к.Плит.покрытие</vt:lpstr>
      <vt:lpstr>к.Урны</vt:lpstr>
      <vt:lpstr>к.Газоны</vt:lpstr>
      <vt:lpstr>к.Кошение</vt:lpstr>
      <vt:lpstr>к.Кустарники</vt:lpstr>
      <vt:lpstr>к.Живая изгородь</vt:lpstr>
      <vt:lpstr>к. Однолетники</vt:lpstr>
      <vt:lpstr>к.Многолетники</vt:lpstr>
      <vt:lpstr>к.Покраска</vt:lpstr>
      <vt:lpstr>к.Рыхление</vt:lpstr>
      <vt:lpstr>к. Дорожки зима</vt:lpstr>
      <vt:lpstr>к.Скамьи</vt:lpstr>
      <vt:lpstr>ручная оч. дорож</vt:lpstr>
      <vt:lpstr>руч. уборка  площад. со спорти</vt:lpstr>
      <vt:lpstr>спорт. пл. промывка покраска</vt:lpstr>
      <vt:lpstr>промывка ограждения</vt:lpstr>
      <vt:lpstr>расчетна конечный рез. </vt:lpstr>
      <vt:lpstr>колонны</vt:lpstr>
      <vt:lpstr>расчет по работам (2)</vt:lpstr>
      <vt:lpstr>расчет по работам</vt:lpstr>
      <vt:lpstr>деревья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2009-02-04T05:51:09Z</cp:lastPrinted>
  <dcterms:created xsi:type="dcterms:W3CDTF">2006-09-28T05:33:49Z</dcterms:created>
  <dcterms:modified xsi:type="dcterms:W3CDTF">2013-11-05T03:32:36Z</dcterms:modified>
</cp:coreProperties>
</file>